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mmary" sheetId="1" r:id="rId1"/>
    <sheet name="Inputs" sheetId="2" r:id="rId2"/>
    <sheet name="Areas" sheetId="3" r:id="rId3"/>
    <sheet name="Walls" sheetId="4" r:id="rId4"/>
    <sheet name="Flooring" sheetId="5" r:id="rId5"/>
    <sheet name="Base" sheetId="6" r:id="rId6"/>
    <sheet name="Sources" sheetId="7" r:id="rId7"/>
    <sheet name="Checks" sheetId="8" r:id="rId8"/>
  </sheets>
  <definedNames>
    <definedName name="_xlnm.Print_Area" localSheetId="2">Areas!$A$1:$F$24</definedName>
    <definedName name="_xlnm.Print_Area" localSheetId="5">Base!$A$1:$H$32</definedName>
    <definedName name="_xlnm.Print_Area" localSheetId="7">Checks!$A$1:$D$29</definedName>
    <definedName name="_xlnm.Print_Area" localSheetId="4">Flooring!$A$1:$G$24</definedName>
    <definedName name="_xlnm.Print_Area" localSheetId="1">Inputs!$A$1:$G$43</definedName>
    <definedName name="_xlnm.Print_Area" localSheetId="6">Sources!$A$1:$C$28</definedName>
    <definedName name="_xlnm.Print_Area" localSheetId="0">Summary!$A$1:$D$31</definedName>
    <definedName name="_xlnm.Print_Area" localSheetId="3">Walls!$A$1:$F$35</definedName>
    <definedName name="_xlnm.Print_Titles" localSheetId="2">Areas!$1:$4</definedName>
    <definedName name="_xlnm.Print_Titles" localSheetId="5">Base!$1:$4</definedName>
    <definedName name="_xlnm.Print_Titles" localSheetId="7">Checks!$1:$4</definedName>
    <definedName name="_xlnm.Print_Titles" localSheetId="4">Flooring!$1:$4</definedName>
    <definedName name="_xlnm.Print_Titles" localSheetId="1">Inputs!$1:$4</definedName>
    <definedName name="_xlnm.Print_Titles" localSheetId="6">Sources!$1:$4</definedName>
    <definedName name="_xlnm.Print_Titles" localSheetId="0">Summary!$1:$4</definedName>
    <definedName name="_xlnm.Print_Titles" localSheetId="3">Walls!$1:$4</definedName>
  </definedNames>
  <calcPr calcId="124519" fullCalcOnLoad="1"/>
</workbook>
</file>

<file path=xl/comments1.xml><?xml version="1.0" encoding="utf-8"?>
<comments xmlns="http://schemas.openxmlformats.org/spreadsheetml/2006/main">
  <authors>
    <author/>
  </authors>
  <commentList>
    <comment ref="A5" authorId="0">
      <text>
        <r>
          <rPr>
            <sz val="8"/>
            <color indexed="81"/>
            <rFont val="Tahoma"/>
            <family val="2"/>
          </rPr>
          <t>A-101 Floor Plan.pdf p.1: Living / Kitchen clear dimensions and door note. A-601 Finish Schedule.pdf p.1: Living / Kitchen Base column.</t>
        </r>
      </text>
    </comment>
    <comment ref="A6" authorId="0">
      <text>
        <r>
          <rPr>
            <sz val="8"/>
            <color indexed="81"/>
            <rFont val="Tahoma"/>
            <family val="2"/>
          </rPr>
          <t>A-101 Floor Plan.pdf p.1: Bedroom clear dimensions and door note. A-601 Finish Schedule.pdf p.1: Bedroom Base column.</t>
        </r>
      </text>
    </comment>
    <comment ref="A7" authorId="0">
      <text>
        <r>
          <rPr>
            <sz val="8"/>
            <color indexed="81"/>
            <rFont val="Tahoma"/>
            <family val="2"/>
          </rPr>
          <t>A-101 Floor Plan.pdf p.1: Bath clear dimensions and door note. A-601 Finish Schedule.pdf p.1: Bath Base column.</t>
        </r>
      </text>
    </comment>
    <comment ref="A8" authorId="0">
      <text>
        <r>
          <rPr>
            <sz val="8"/>
            <color indexed="81"/>
            <rFont val="Tahoma"/>
            <family val="2"/>
          </rPr>
          <t>A-101 Floor Plan.pdf p.1: Laundry / Mech. clear dimensions and door note. A-601 Finish Schedule.pdf p.1: Laundry / Mech. Base column.</t>
        </r>
      </text>
    </comment>
  </commentList>
</comments>
</file>

<file path=xl/sharedStrings.xml><?xml version="1.0" encoding="utf-8"?>
<sst xmlns="http://schemas.openxmlformats.org/spreadsheetml/2006/main" count="492" uniqueCount="374">
  <si>
    <t>MAPLE COURT ADU | Quantity takeoff</t>
  </si>
  <si>
    <t>Rev 01 · October 13, 2026 · U.S. customary quantities with requested metric conversions</t>
  </si>
  <si>
    <t>Dimension and factor inputs</t>
  </si>
  <si>
    <t>Blue cells are editable numeric source inputs. Inches convert to feet without rounding. Source wording is retained for reference.</t>
  </si>
  <si>
    <t>Net room and gross floor areas</t>
  </si>
  <si>
    <t>Printed clear dimensions control room areas. Gross area uses the outside face of framing.</t>
  </si>
  <si>
    <t>Partition runs and drywall</t>
  </si>
  <si>
    <t>Interior centerlines stop at exterior inside finished faces; doors remain in wall run lengths.</t>
  </si>
  <si>
    <t>Flooring by room and type</t>
  </si>
  <si>
    <t>A-601 waste is applied to unrounded clear floor areas. Sealed concrete has no supplied waste factor.</t>
  </si>
  <si>
    <t>Baseboard and door deductions</t>
  </si>
  <si>
    <t>Amber cells need door counts by room. Enter 0 where none occur; do not leave unknowns as zero.</t>
  </si>
  <si>
    <t>Drawing register and quantity basis</t>
  </si>
  <si>
    <t>All quantities are derived from printed dimensions; no scaled PDF measurements were used.</t>
  </si>
  <si>
    <t>Reconciliation and review checks</t>
  </si>
  <si>
    <t>Calculated checks use full precision. Cached outputs were independently checked before publication.</t>
  </si>
  <si>
    <t>ID</t>
  </si>
  <si>
    <t>Description</t>
  </si>
  <si>
    <t>Printed value / note</t>
  </si>
  <si>
    <t>Value</t>
  </si>
  <si>
    <t>Unit</t>
  </si>
  <si>
    <t>Feet</t>
  </si>
  <si>
    <t>Source location</t>
  </si>
  <si>
    <t>GW</t>
  </si>
  <si>
    <t>Gross width</t>
  </si>
  <si>
    <t>24'-0"</t>
  </si>
  <si>
    <t>in</t>
  </si>
  <si>
    <t>A-101 p.1, bottom overall dimension</t>
  </si>
  <si>
    <t>GD</t>
  </si>
  <si>
    <t>Gross depth</t>
  </si>
  <si>
    <t>30'-0"</t>
  </si>
  <si>
    <t>A-101 p.1, left overall dimension</t>
  </si>
  <si>
    <t>LW</t>
  </si>
  <si>
    <t>Living / Kitchen width</t>
  </si>
  <si>
    <t>23'-0"</t>
  </si>
  <si>
    <t>A-101 p.1, LIVING / KITCHEN clear label</t>
  </si>
  <si>
    <t>LD</t>
  </si>
  <si>
    <t>Living / Kitchen depth</t>
  </si>
  <si>
    <t>11'-3 3/4"</t>
  </si>
  <si>
    <t>BW</t>
  </si>
  <si>
    <t>Bedroom width</t>
  </si>
  <si>
    <t>12'-3 3/4"</t>
  </si>
  <si>
    <t>A-101 p.1, BEDROOM clear label</t>
  </si>
  <si>
    <t>BD</t>
  </si>
  <si>
    <t>Bedroom depth</t>
  </si>
  <si>
    <t>17'-3 3/4"</t>
  </si>
  <si>
    <t>TW</t>
  </si>
  <si>
    <t>Bath width</t>
  </si>
  <si>
    <t>10'-3 3/4"</t>
  </si>
  <si>
    <t>A-101 p.1, BATH clear label</t>
  </si>
  <si>
    <t>TD</t>
  </si>
  <si>
    <t>Bath depth</t>
  </si>
  <si>
    <t>8'-9 3/4"</t>
  </si>
  <si>
    <t>MW</t>
  </si>
  <si>
    <t>Laundry / Mech. width</t>
  </si>
  <si>
    <t>A-101 p.1, LAUNDRY / MECH. clear label</t>
  </si>
  <si>
    <t>MD</t>
  </si>
  <si>
    <t>Laundry / Mech. depth</t>
  </si>
  <si>
    <t>8'-1 1/2"</t>
  </si>
  <si>
    <t>PY</t>
  </si>
  <si>
    <t>Main partition from south</t>
  </si>
  <si>
    <t>12'-0"</t>
  </si>
  <si>
    <t>A-101 p.1, south outside framing face to centerline note</t>
  </si>
  <si>
    <t>PX</t>
  </si>
  <si>
    <t>Vertical partition from west</t>
  </si>
  <si>
    <t>13'-0"</t>
  </si>
  <si>
    <t>A-101 p.1, west outside framing face to centerline note</t>
  </si>
  <si>
    <t>PC</t>
  </si>
  <si>
    <t>Bath/laundry partition from south</t>
  </si>
  <si>
    <t>20'-6"</t>
  </si>
  <si>
    <t>H</t>
  </si>
  <si>
    <t>Ceiling height</t>
  </si>
  <si>
    <t>9'-0"</t>
  </si>
  <si>
    <t>A-101 p.1, ceiling height note</t>
  </si>
  <si>
    <t>DW</t>
  </si>
  <si>
    <t>Interior door width</t>
  </si>
  <si>
    <t>2'-8"</t>
  </si>
  <si>
    <t>A-101 p.1, door note</t>
  </si>
  <si>
    <t>DH</t>
  </si>
  <si>
    <t>Interior door height</t>
  </si>
  <si>
    <t>6'-8"</t>
  </si>
  <si>
    <t>EW</t>
  </si>
  <si>
    <t>Entry door width</t>
  </si>
  <si>
    <t>3'-0"</t>
  </si>
  <si>
    <t>IDN</t>
  </si>
  <si>
    <t>Interior door count</t>
  </si>
  <si>
    <t>4 interior</t>
  </si>
  <si>
    <t>count</t>
  </si>
  <si>
    <t>EDN</t>
  </si>
  <si>
    <t>Entry door count</t>
  </si>
  <si>
    <t>1 entry</t>
  </si>
  <si>
    <t>FWL</t>
  </si>
  <si>
    <t>LVP waste</t>
  </si>
  <si>
    <t>7 percent</t>
  </si>
  <si>
    <t>ratio</t>
  </si>
  <si>
    <t>A-601 p.1, Flooring waste factors note</t>
  </si>
  <si>
    <t>FWT</t>
  </si>
  <si>
    <t>Porcelain tile waste</t>
  </si>
  <si>
    <t>10 percent</t>
  </si>
  <si>
    <t>DWW</t>
  </si>
  <si>
    <t>Interior partition board waste</t>
  </si>
  <si>
    <t>A-601 p.1, drywall waste note; user item 2</t>
  </si>
  <si>
    <t>Derived control</t>
  </si>
  <si>
    <t>Derivation</t>
  </si>
  <si>
    <t>EO</t>
  </si>
  <si>
    <t>Exterior inside-face offset</t>
  </si>
  <si>
    <t>(Gross width − clear living width) / 2</t>
  </si>
  <si>
    <t>ft</t>
  </si>
  <si>
    <t>A-101 p.1: 24'-0" and 23'-0"; equal opposing exterior walls</t>
  </si>
  <si>
    <t>PT</t>
  </si>
  <si>
    <t>Finished partition thickness</t>
  </si>
  <si>
    <t>2 × (west CL offset − exterior offset − bedroom clear width)</t>
  </si>
  <si>
    <t>A-101 p.1: 13'-0", 12'-3 3/4"; partition note 2x4 + 1/2" GWB both sides</t>
  </si>
  <si>
    <t>PH</t>
  </si>
  <si>
    <t>Half partition thickness</t>
  </si>
  <si>
    <t>Finished thickness / 2</t>
  </si>
  <si>
    <t>Derived from row 31; centers assumed midway between finished faces</t>
  </si>
  <si>
    <t>Equal opposing exterior offsets are inferred from the 24'-0" outside width and 23'-0" clear width. The resulting 6" offset and 4 1/2" finished partition thickness reconcile every clear dimension.</t>
  </si>
  <si>
    <t>Conversion constants: 12 in = 1 ft; 1 international ft = 0.3048 m exactly. Metric areas use (0.3048)². Display rounding is not construction tolerance.</t>
  </si>
  <si>
    <t>No waste factor is supplied for sealed concrete or baseboard. Those quantities remain net measured coverage; no procurement allowance is invented.</t>
  </si>
  <si>
    <t>A-101 source issue text: Rev. 0 - 10/09/2026   DESIGN DEVELOPMENT. A-601 has no revision/date printed. Both sources state FICTITIOUS TEST DOCUMENT.</t>
  </si>
  <si>
    <t>Changing numeric inputs updates formulas. Update their printed reference text and provenance to match the revised drawing. No prices or currency are included.</t>
  </si>
  <si>
    <t>Room / measure</t>
  </si>
  <si>
    <t>Clear width (ft)</t>
  </si>
  <si>
    <t>Clear depth (ft)</t>
  </si>
  <si>
    <t>Area (SF)</t>
  </si>
  <si>
    <t>Perimeter (LF)</t>
  </si>
  <si>
    <t>Dimension / source</t>
  </si>
  <si>
    <t>Living / Kitchen</t>
  </si>
  <si>
    <t>A-101 p.1, LIVING / KITCHEN: 23'-0" × 11'-3 3/4" clear</t>
  </si>
  <si>
    <t>Bedroom</t>
  </si>
  <si>
    <t>A-101 p.1, BEDROOM: 12'-3 3/4" × 17'-3 3/4" clear</t>
  </si>
  <si>
    <t>Bath</t>
  </si>
  <si>
    <t>A-101 p.1, BATH: 10'-3 3/4" × 8'-9 3/4" clear</t>
  </si>
  <si>
    <t>Laundry / Mech.</t>
  </si>
  <si>
    <t>A-101 p.1, LAUNDRY / MECH.: 10'-3 3/4" × 8'-1 1/2" clear</t>
  </si>
  <si>
    <t>NET ROOM TOTAL</t>
  </si>
  <si>
    <t>Gross outside framing</t>
  </si>
  <si>
    <t>A-101 p.1, overall dimensions: 24'-0" × 30'-0" outside face of framing</t>
  </si>
  <si>
    <t>Gross floor area (m²)</t>
  </si>
  <si>
    <t>Exact international foot conversion; user item 4</t>
  </si>
  <si>
    <t>Gross less clear rooms (SF)</t>
  </si>
  <si>
    <t>Reconciliation only: wall bands and other area outside the four clear rectangles</t>
  </si>
  <si>
    <t>The clear rectangles are used exactly as labeled. Door thresholds, shower footprint and built-in footprint dimensions are not supplied for separate adjustments.</t>
  </si>
  <si>
    <t>Area values retain full precision. Totals are calculated before display rounding; adding rounded room areas may differ by 0.01 SF.</t>
  </si>
  <si>
    <t>Partition / measure</t>
  </si>
  <si>
    <t>Centerline (LF)</t>
  </si>
  <si>
    <t>Face A (LF)</t>
  </si>
  <si>
    <t>Face B (LF)</t>
  </si>
  <si>
    <t>Both faces (LF)</t>
  </si>
  <si>
    <t>Dimensions / source</t>
  </si>
  <si>
    <t>P1 | Living / north rooms</t>
  </si>
  <si>
    <t>A-101 p.1: P1 at 12'-0" from south. CL spans 23'-0" clear width; faces: Living vs Bedroom + Laundry.</t>
  </si>
  <si>
    <t>P2 | Bedroom / east rooms</t>
  </si>
  <si>
    <t>A-101 p.1: P2 at 13'-0" from west. CL = 30'-0" − 12'-0" − 6". Faces: Bedroom vs Bath + Laundry.</t>
  </si>
  <si>
    <t>P3 | Bath / Laundry</t>
  </si>
  <si>
    <t>A-101 p.1: P3 at 20'-6" from south. CL = 24'-0" − 13'-0" − 6". Faces: Bath vs Laundry.</t>
  </si>
  <si>
    <t>PARTITION TOTAL</t>
  </si>
  <si>
    <t>Partition centerline (m)</t>
  </si>
  <si>
    <t>51.00 LF × 0.3048 m/ft; user item 4</t>
  </si>
  <si>
    <t>Exterior wall (LF)</t>
  </si>
  <si>
    <t>A-101 p.1: 2 × (24'-0" + 30'-0"); outside face of framing; openings included</t>
  </si>
  <si>
    <t>Drywall measure</t>
  </si>
  <si>
    <t>Quantity</t>
  </si>
  <si>
    <t>Factor / count</t>
  </si>
  <si>
    <t>Result basis</t>
  </si>
  <si>
    <t>Source / derivation</t>
  </si>
  <si>
    <t>Both partition faces × height</t>
  </si>
  <si>
    <t>SF</t>
  </si>
  <si>
    <t>100.5 LF × 9 ft</t>
  </si>
  <si>
    <t>A-101 p.1, clear labels and ceiling note</t>
  </si>
  <si>
    <t>Interior door deductions</t>
  </si>
  <si>
    <t>4 doors × 2 sides</t>
  </si>
  <si>
    <t>A-101 p.1: 4 × 2'-8" × 6'-8", both faces</t>
  </si>
  <si>
    <t>Net partition board</t>
  </si>
  <si>
    <t>Gross less doors</t>
  </si>
  <si>
    <t>User item 2; no ceiling or exterior wall lining area</t>
  </si>
  <si>
    <t>Waste factor</t>
  </si>
  <si>
    <t>Applied to net</t>
  </si>
  <si>
    <t>A-601 p.1 drywall note and user item 2</t>
  </si>
  <si>
    <t>Explicit board waste</t>
  </si>
  <si>
    <t>10% of net</t>
  </si>
  <si>
    <t>Waste is added after opening deductions</t>
  </si>
  <si>
    <t>BOARD INCLUDING WASTE</t>
  </si>
  <si>
    <t>Net + waste</t>
  </si>
  <si>
    <t>Primary quantity: finished wall faces</t>
  </si>
  <si>
    <t>Finished-face lengths remove overlaps at T-junctions. They are 1.50 LF less than twice the partition centerlines, reducing net drywall by 13.50 SF before waste.</t>
  </si>
  <si>
    <t>Centerline approximation</t>
  </si>
  <si>
    <t>Use</t>
  </si>
  <si>
    <t>Basis</t>
  </si>
  <si>
    <t>Gross: 2 × centerline × height</t>
  </si>
  <si>
    <t>Reference only; includes T-junction overlaps</t>
  </si>
  <si>
    <t>Net after same door deductions</t>
  </si>
  <si>
    <t>Approximation + 10% waste</t>
  </si>
  <si>
    <t>Reference only</t>
  </si>
  <si>
    <t>Excluded from Summary to avoid duplicate quantities</t>
  </si>
  <si>
    <t>Endpoint convention: P1 runs between west/east inside finished exterior faces; P2 starts at P1 centerline; P3 starts at P2 centerline. This total is not a centerline-to-centerline structural grid dimension.</t>
  </si>
  <si>
    <t>Board area follows the requested full-height partitions. A-601 shows shower tile to 7'-0" but gives no shower extent for separating substrate/board types. Door jamb returns and casing widths are not dimensioned.</t>
  </si>
  <si>
    <t>Room / type</t>
  </si>
  <si>
    <t>Floor finish</t>
  </si>
  <si>
    <t>Net (SF)</t>
  </si>
  <si>
    <t>Waste</t>
  </si>
  <si>
    <t>Added (SF)</t>
  </si>
  <si>
    <t>With waste (SF)</t>
  </si>
  <si>
    <t>Source</t>
  </si>
  <si>
    <t>LVP</t>
  </si>
  <si>
    <t>A-101 p.1, Living / Kitchen clear label; A-601 p.1, room row + waste note</t>
  </si>
  <si>
    <t>A-101 p.1, Bedroom clear label; A-601 p.1, room row + waste note</t>
  </si>
  <si>
    <t>Porcelain tile</t>
  </si>
  <si>
    <t>A-101 p.1, Bath clear label; A-601 p.1, room row + waste note</t>
  </si>
  <si>
    <t>Sealed concrete</t>
  </si>
  <si>
    <t>Not supplied</t>
  </si>
  <si>
    <t>—</t>
  </si>
  <si>
    <t>Net only</t>
  </si>
  <si>
    <t>A-101 p.1, Laundry / Mech. clear label; A-601 p.1, room row + waste note</t>
  </si>
  <si>
    <t>Flooring by type</t>
  </si>
  <si>
    <t>Rooms</t>
  </si>
  <si>
    <t>Living / Kitchen + Bedroom</t>
  </si>
  <si>
    <t>A-601 p.1, floor column and waste note</t>
  </si>
  <si>
    <t>A-601 p.1, Laundry / Mech. row</t>
  </si>
  <si>
    <t>Porcelain tile uses the full clear Bath rectangle because no shower footprint or separate floor finish boundary is dimensioned. LVP uses the complete Living / Kitchen and Bedroom rectangles.</t>
  </si>
  <si>
    <t>Sealed concrete: 83.79 SF coverage. No square-foot material allowance, sealer yield, package rounding or baseboard waste factor was supplied.</t>
  </si>
  <si>
    <t>Kitchen backsplash tile by owner (A-601) is wall finish and is outside this flooring/partition-board quantity scope.</t>
  </si>
  <si>
    <t>Room</t>
  </si>
  <si>
    <t>Scheduled base</t>
  </si>
  <si>
    <t>Gross (LF)</t>
  </si>
  <si>
    <t>Interior door faces</t>
  </si>
  <si>
    <t>Deduct (LF)</t>
  </si>
  <si>
    <t>Net (LF)</t>
  </si>
  <si>
    <t>Status / source</t>
  </si>
  <si>
    <t>Wood base 3 1/2"</t>
  </si>
  <si>
    <t>Tile cove</t>
  </si>
  <si>
    <t>Rubber base 4"</t>
  </si>
  <si>
    <t>Base by type</t>
  </si>
  <si>
    <t>Interior faces</t>
  </si>
  <si>
    <t>Entry count</t>
  </si>
  <si>
    <t>Status</t>
  </si>
  <si>
    <t>Living + Bedroom</t>
  </si>
  <si>
    <t>Whole-project total</t>
  </si>
  <si>
    <t>Gross room perimeters</t>
  </si>
  <si>
    <t>203 LF clear perimeter</t>
  </si>
  <si>
    <t>LF</t>
  </si>
  <si>
    <t>A-101 p.1, four clear room rectangles and door count/width note</t>
  </si>
  <si>
    <t>Interior door deduction</t>
  </si>
  <si>
    <t>4 doors × 2 faces × 2'-8"</t>
  </si>
  <si>
    <t>Entry door deduction</t>
  </si>
  <si>
    <t>1 door × 1 interior face × 3'-0"</t>
  </si>
  <si>
    <t>TOTAL NET BASE</t>
  </si>
  <si>
    <t>All base types; independent of room door allocation</t>
  </si>
  <si>
    <t>Required totals: 8 interior door faces and 1 entry door. Refer to Checks after editing.</t>
  </si>
  <si>
    <t>A-101 shows no door locations or swings. Room/type net quantities stay blank until door counts are supplied. The total net base can be calculated from the door schedule alone.</t>
  </si>
  <si>
    <t>Deductions use stated door widths. Casing widths, cabinet/base omissions, shower curb limits and other base interruptions are not dimensioned; no additional deductions or waste are added.</t>
  </si>
  <si>
    <t>For a door between two rooms, enter one interior door face in each room. For the entry door, enter one entry count only in its receiving room. Formulas then allocate base by type.</t>
  </si>
  <si>
    <t>Amount</t>
  </si>
  <si>
    <t>Basis / detail tab</t>
  </si>
  <si>
    <t>A-101 clear 23'-0" × 11'-3 3/4"; Areas</t>
  </si>
  <si>
    <t>A-101 clear 12'-3 3/4" × 17'-3 3/4"; Areas</t>
  </si>
  <si>
    <t>A-101 clear 10'-3 3/4" × 8'-9 3/4"; Areas</t>
  </si>
  <si>
    <t>A-101 clear 10'-3 3/4" × 8'-1 1/2"; Areas</t>
  </si>
  <si>
    <t>TOTAL NET ROOM AREA</t>
  </si>
  <si>
    <t>Sum of unrounded room areas</t>
  </si>
  <si>
    <t>GROSS FLOOR AREA</t>
  </si>
  <si>
    <t>24'-0" × 30'-0", outside face of framing</t>
  </si>
  <si>
    <t>Gross floor area — metric</t>
  </si>
  <si>
    <t>m²</t>
  </si>
  <si>
    <t>Exact conversion; shown to 4 decimal places</t>
  </si>
  <si>
    <t>Interior partition centerlines</t>
  </si>
  <si>
    <t>23 + 17.5 + 10.5 ft; ends at exterior inside finished faces</t>
  </si>
  <si>
    <t>Partition centerlines — metric</t>
  </si>
  <si>
    <t>m</t>
  </si>
  <si>
    <t>Same endpoint convention as 51 LF above</t>
  </si>
  <si>
    <t>Exterior wall perimeter</t>
  </si>
  <si>
    <t>Outside face of framing; openings included</t>
  </si>
  <si>
    <t>Partition drywall, net</t>
  </si>
  <si>
    <t>Both faces; 4 interior doors deducted on both sides</t>
  </si>
  <si>
    <t>Drywall waste addition — 10%</t>
  </si>
  <si>
    <t>10% of net board area; A-601 and user item 2</t>
  </si>
  <si>
    <t>DRYWALL INCLUDING WASTE</t>
  </si>
  <si>
    <t>Actual wall faces; see Walls for CL approximation</t>
  </si>
  <si>
    <t>LVP including 7% waste</t>
  </si>
  <si>
    <t>473.34765625 SF net + 33.1343359375 SF waste</t>
  </si>
  <si>
    <t>Porcelain tile including 10% waste</t>
  </si>
  <si>
    <t>90.87890625 SF net + 9.087890625 SF waste</t>
  </si>
  <si>
    <t>Sealed concrete coverage</t>
  </si>
  <si>
    <t>Net area; no waste factor supplied</t>
  </si>
  <si>
    <t>TOTAL BASE AFTER DOOR DEDUCTIONS</t>
  </si>
  <si>
    <t>203 LF − 8 × 2'-8" − 3'-0"; no waste supplied</t>
  </si>
  <si>
    <t>OPEN: door locations are absent from A-101. Base quantities by room/type need the four interior door connections and entry room. Enter the allocation in the Base tab.</t>
  </si>
  <si>
    <t>Editable inputs and formulas are provided throughout. Numeric outputs were checked independently; native Excel layout has not been rendered. Source PDFs are preserved. Both drawings identify themselves as fictitious test documents.</t>
  </si>
  <si>
    <t>Source / topic</t>
  </si>
  <si>
    <t>Exact reference and use</t>
  </si>
  <si>
    <t>S1</t>
  </si>
  <si>
    <t>Drawings/A-101 Floor Plan.pdf</t>
  </si>
  <si>
    <t>Page 1 / A-101 FLOOR PLAN. Issue text: Rev. 0 - 10/09/2026   DESIGN DEVELOPMENT. Title: MAPLE COURT ADU. Printed site: 1234 Maple Court, Los Angeles, CA 900xx (fictitious address).</t>
  </si>
  <si>
    <t>S1a</t>
  </si>
  <si>
    <t>Clear room dimensions</t>
  </si>
  <si>
    <t>Page 1, LIVING / KITCHEN, BEDROOM, BATH, LAUNDRY / MECH. labels. Exact dimensions appear in Inputs and Areas. All rooms are treated as their labeled clear rectangles.</t>
  </si>
  <si>
    <t>S1b</t>
  </si>
  <si>
    <t>Overall and partition locations</t>
  </si>
  <si>
    <t>Page 1: 24'-0" × 30'-0" outside face of framing; partition 12'-0" from south to centerline; vertical partition 13'-0" from west; bath/laundry partition 20'-6" from south to centerline.</t>
  </si>
  <si>
    <t>S1c</t>
  </si>
  <si>
    <t>Height, walls and openings</t>
  </si>
  <si>
    <t>Page 1 right-side notes: 9'-0" ceiling; exterior walls 2x6 + 1/2" GWB; interior partitions 2x4 + 1/2" GWB both sides. Doors: 1 entry 3'-0" × 6'-8", 4 interior 2'-8" × 6'-8"; windows 6 @ 4'-0" × 4'-0".</t>
  </si>
  <si>
    <t>S1d</t>
  </si>
  <si>
    <t>Scale and PDF page</t>
  </si>
  <si>
    <t>Printed scale 1/4" = 1'-0"; printed sheet ARCH D 24" × 36". Actual PDF MediaBox is 2592 × 1728 points (36 × 24 inches). Printed dimensions, not the graphic scale, control this takeoff.</t>
  </si>
  <si>
    <t>S2</t>
  </si>
  <si>
    <t>Drawings/A-601 Finish Schedule.pdf</t>
  </si>
  <si>
    <t>Page 1 / A-601 Room Finish Schedule - Maple Court ADU. No revision/date printed. PDF page is 612 × 792 points. Room Floor and Base columns assign LVP/wood, LVP/wood, porcelain/tile cove, sealed concrete/rubber.</t>
  </si>
  <si>
    <t>S2a</t>
  </si>
  <si>
    <t>Waste and finish notes</t>
  </si>
  <si>
    <t>Page 1 bottom note: LVP 7 percent, porcelain tile 10 percent; drywall 10 percent on interior partition board. Bath: tile to 7'-0" at shower, GWB above. Kitchen backsplash tile by owner.</t>
  </si>
  <si>
    <t>U1</t>
  </si>
  <si>
    <t>User instruction</t>
  </si>
  <si>
    <t>Current task: net clear room and gross outside-framing areas; centerline partitions; exterior wall LF; both partition board faces at 9'-0", deduct four doors, add 10%; A-601 flooring waste; base less doors; gross area and partitions in metric.</t>
  </si>
  <si>
    <t>B1</t>
  </si>
  <si>
    <t>Centerline and wall-face method</t>
  </si>
  <si>
    <t>Three partition runs; exterior endpoint offset = (24 − 23) / 2 = 0.5 ft. Centerlines 23, 17.5, 10.5 ft. Actual face sums 45.625, 34.25, 20.625 LF. Clear face sums avoid T-junction overlap.</t>
  </si>
  <si>
    <t>B2</t>
  </si>
  <si>
    <t>Door/base allocation — OPEN</t>
  </si>
  <si>
    <t>Neither PDF locates the doors. Total base deduction is known: four doors × two sides plus one entry. Net base by room/type awaits allocation; amber cells are intentionally blank.</t>
  </si>
  <si>
    <t>B3</t>
  </si>
  <si>
    <t>Measurement extent</t>
  </si>
  <si>
    <t>Full clear-room finish coverage; no separate threshold, cabinet, shower or equipment footprint measurements available. No casing allowance or base exclusions are invented. Board returns are not dimensioned.</t>
  </si>
  <si>
    <t>B4</t>
  </si>
  <si>
    <t>Precision and review</t>
  </si>
  <si>
    <t>U.S. customary dimensions parsed exactly and takeoffs/conversions checked with us_units. Editable Excel formulas carry checked cached results and recalculate on open. Quantities display 2 decimals; metric 4. No physical measurement tolerance assumed.</t>
  </si>
  <si>
    <t>B5</t>
  </si>
  <si>
    <t>Document status</t>
  </si>
  <si>
    <t>Both source PDFs state: FICTITIOUS TEST DOCUMENT - not a real project, contract, bid or approval. This workbook is a DD quantity working document and includes no prices.</t>
  </si>
  <si>
    <t>B6</t>
  </si>
  <si>
    <t>Readability and inspection</t>
  </si>
  <si>
    <t>All PDF pages have extractable text and were visually inspected. No OCR or raster measurements required. Workbook was reopened to inspect formulas, cached values, references and data validation. A separate tabular preview was inspected, not a native Excel render.</t>
  </si>
  <si>
    <t>Companion source.json retains the extracted source text, file hashes, exact calculation results and calculation requests. Keep it beside this editable workbook.</t>
  </si>
  <si>
    <t>Check</t>
  </si>
  <si>
    <t>Difference / count</t>
  </si>
  <si>
    <t>Result</t>
  </si>
  <si>
    <t>Interpretation</t>
  </si>
  <si>
    <t>Living clear height</t>
  </si>
  <si>
    <t>11'-3 3/4" = 12'-0" − 6" − 2 1/4"</t>
  </si>
  <si>
    <t>Bedroom clear width</t>
  </si>
  <si>
    <t>12'-3 3/4" = 13'-0" − 6" − 2 1/4"</t>
  </si>
  <si>
    <t>Bedroom clear depth</t>
  </si>
  <si>
    <t>17'-3 3/4" = 30'-0" − 6" − 12'-0" − 2 1/4"</t>
  </si>
  <si>
    <t>Bath clear width</t>
  </si>
  <si>
    <t>East width from outside frame to vertical centerline</t>
  </si>
  <si>
    <t>Bath clear depth</t>
  </si>
  <si>
    <t>8'-9 3/4" = 30'-0" − 6" − 20'-6" − 2 1/4"</t>
  </si>
  <si>
    <t>Laundry clear width</t>
  </si>
  <si>
    <t>Bath and Laundry east-side clear widths agree</t>
  </si>
  <si>
    <t>Laundry clear depth</t>
  </si>
  <si>
    <t>8'-1 1/2" = 20'-6" − 12'-0" − 4 1/2"</t>
  </si>
  <si>
    <t>Net room areas vs flooring</t>
  </si>
  <si>
    <t>Flooring net areas equal all clear room areas</t>
  </si>
  <si>
    <t>Partition face length identity</t>
  </si>
  <si>
    <t>Both faces = 2 × centerline − 4 finished partition thicknesses</t>
  </si>
  <si>
    <t>Gross/net area reconciliation</t>
  </si>
  <si>
    <t>Exterior band + partition footprints, less two half-thickness T-junction overlaps</t>
  </si>
  <si>
    <t>Metric gross area conversion</t>
  </si>
  <si>
    <t>International foot conversion, exact factor</t>
  </si>
  <si>
    <t>Metric partition conversion</t>
  </si>
  <si>
    <t>International foot conversion, same endpoint basis</t>
  </si>
  <si>
    <t>Drywall total arithmetic</t>
  </si>
  <si>
    <t>Openings deducted before 10% waste</t>
  </si>
  <si>
    <t>Door allocation input count</t>
  </si>
  <si>
    <t>All 8 room input cells require numeric counts, including explicit zero</t>
  </si>
  <si>
    <t>Interior door faces vs schedule</t>
  </si>
  <si>
    <t>Must equal 4 × 2 = 8 door faces</t>
  </si>
  <si>
    <t>Entry door vs schedule</t>
  </si>
  <si>
    <t>Must equal 1 entry door</t>
  </si>
  <si>
    <t>Allocated base vs project total</t>
  </si>
  <si>
    <t>Net base by room must reconcile to independent total</t>
  </si>
  <si>
    <t>Checks reconcile the current rectangular geometry. The 0.00000001 threshold only suppresses spreadsheet floating-point noise; it is not a drawing or construction tolerance.</t>
  </si>
  <si>
    <t>Independent verification used rational arithmetic against all exact us_units outputs. Review of editable workbook contents and tabular previews does not establish native Excel rendering.</t>
  </si>
</sst>
</file>

<file path=xl/styles.xml><?xml version="1.0" encoding="utf-8"?>
<styleSheet xmlns="http://schemas.openxmlformats.org/spreadsheetml/2006/main">
  <numFmts count="4">
    <numFmt numFmtId="164" formatCode="0.00"/>
    <numFmt numFmtId="165" formatCode="0.0000"/>
    <numFmt numFmtId="166" formatCode="0.####"/>
    <numFmt numFmtId="167" formatCode="0%"/>
  </numFmts>
  <fonts count="12">
    <font>
      <sz val="11"/>
      <color theme="1"/>
      <name val="Calibri"/>
      <family val="2"/>
      <scheme val="minor"/>
    </font>
    <font>
      <b/>
      <sz val="18"/>
      <color rgb="FF244D5B"/>
      <name val="Arial"/>
      <family val="2"/>
    </font>
    <font>
      <sz val="10"/>
      <color rgb="FF52717C"/>
      <name val="Arial"/>
      <family val="2"/>
    </font>
    <font>
      <b/>
      <sz val="10"/>
      <color rgb="FFFFFFFF"/>
      <name val="Arial"/>
      <family val="2"/>
    </font>
    <font>
      <sz val="10"/>
      <color theme="1"/>
      <name val="Arial"/>
      <family val="2"/>
    </font>
    <font>
      <b/>
      <sz val="10"/>
      <color theme="1"/>
      <name val="Arial"/>
      <family val="2"/>
    </font>
    <font>
      <sz val="10"/>
      <color rgb="FF805200"/>
      <name val="Arial"/>
      <family val="2"/>
    </font>
    <font>
      <sz val="9"/>
      <color theme="1"/>
      <name val="Arial"/>
      <family val="2"/>
    </font>
    <font>
      <sz val="10"/>
      <color rgb="FF005A9C"/>
      <name val="Arial"/>
      <family val="2"/>
    </font>
    <font>
      <sz val="10"/>
      <color rgb="FF8B5500"/>
      <name val="Arial"/>
      <family val="2"/>
    </font>
    <font>
      <u/>
      <sz val="10"/>
      <color rgb="FF005A9C"/>
      <name val="Arial"/>
      <family val="2"/>
    </font>
    <font>
      <sz val="8"/>
      <color indexed="81"/>
      <name val="Tahoma"/>
      <family val="2"/>
    </font>
  </fonts>
  <fills count="7">
    <fill>
      <patternFill patternType="none"/>
    </fill>
    <fill>
      <patternFill patternType="gray125"/>
    </fill>
    <fill>
      <patternFill patternType="solid">
        <fgColor rgb="FF244D5B"/>
        <bgColor indexed="64"/>
      </patternFill>
    </fill>
    <fill>
      <patternFill patternType="solid">
        <fgColor rgb="FFDDEFEA"/>
        <bgColor indexed="64"/>
      </patternFill>
    </fill>
    <fill>
      <patternFill patternType="solid">
        <fgColor rgb="FFFFF0CD"/>
        <bgColor indexed="64"/>
      </patternFill>
    </fill>
    <fill>
      <patternFill patternType="solid">
        <fgColor rgb="FFF3F6F7"/>
        <bgColor indexed="64"/>
      </patternFill>
    </fill>
    <fill>
      <patternFill patternType="solid">
        <fgColor rgb="FFEAF4FB"/>
        <bgColor indexed="64"/>
      </patternFill>
    </fill>
  </fills>
  <borders count="2">
    <border>
      <left/>
      <right/>
      <top/>
      <bottom/>
      <diagonal/>
    </border>
    <border>
      <left style="thin">
        <color rgb="FFD7E0E5"/>
      </left>
      <right style="thin">
        <color rgb="FFD7E0E5"/>
      </right>
      <top style="thin">
        <color rgb="FFD7E0E5"/>
      </top>
      <bottom style="thin">
        <color rgb="FFD7E0E5"/>
      </bottom>
      <diagonal/>
    </border>
  </borders>
  <cellStyleXfs count="1">
    <xf numFmtId="0" fontId="0" fillId="0" borderId="0"/>
  </cellStyleXfs>
  <cellXfs count="14">
    <xf numFmtId="0" fontId="0" fillId="0" borderId="0" xfId="0"/>
    <xf numFmtId="0" fontId="1" fillId="0" borderId="0" xfId="0" applyFont="1" applyAlignment="1">
      <alignment vertical="center"/>
    </xf>
    <xf numFmtId="0" fontId="2" fillId="0" borderId="0" xfId="0" applyFont="1" applyAlignment="1">
      <alignment vertical="center" wrapText="1"/>
    </xf>
    <xf numFmtId="0" fontId="3" fillId="2" borderId="1" xfId="0" applyFont="1" applyFill="1" applyBorder="1" applyAlignment="1">
      <alignment vertical="center" wrapText="1"/>
    </xf>
    <xf numFmtId="0" fontId="4" fillId="0" borderId="1" xfId="0" applyFont="1" applyBorder="1" applyAlignment="1">
      <alignment vertical="center" wrapText="1"/>
    </xf>
    <xf numFmtId="164" fontId="4" fillId="0" borderId="1" xfId="0" applyNumberFormat="1" applyFont="1" applyBorder="1" applyAlignment="1">
      <alignment horizontal="right" vertical="center" wrapText="1"/>
    </xf>
    <xf numFmtId="164" fontId="5" fillId="3" borderId="1" xfId="0" applyNumberFormat="1" applyFont="1" applyFill="1" applyBorder="1" applyAlignment="1">
      <alignment vertical="center" wrapText="1"/>
    </xf>
    <xf numFmtId="165" fontId="4" fillId="0" borderId="1" xfId="0" applyNumberFormat="1" applyFont="1" applyBorder="1" applyAlignment="1">
      <alignment horizontal="right" vertical="center" wrapText="1"/>
    </xf>
    <xf numFmtId="0" fontId="6" fillId="4" borderId="1" xfId="0" applyFont="1" applyFill="1" applyBorder="1" applyAlignment="1">
      <alignment vertical="center" wrapText="1"/>
    </xf>
    <xf numFmtId="0" fontId="7" fillId="5" borderId="1" xfId="0" applyFont="1" applyFill="1" applyBorder="1" applyAlignment="1">
      <alignment vertical="center" wrapText="1"/>
    </xf>
    <xf numFmtId="166" fontId="8" fillId="6" borderId="1" xfId="0" applyNumberFormat="1" applyFont="1" applyFill="1" applyBorder="1" applyAlignment="1">
      <alignment vertical="center" wrapText="1"/>
    </xf>
    <xf numFmtId="167" fontId="8" fillId="6" borderId="1" xfId="0" applyNumberFormat="1" applyFont="1" applyFill="1" applyBorder="1" applyAlignment="1">
      <alignment vertical="center" wrapText="1"/>
    </xf>
    <xf numFmtId="1" fontId="9" fillId="4" borderId="1" xfId="0" applyNumberFormat="1" applyFont="1" applyFill="1" applyBorder="1" applyAlignment="1">
      <alignment vertical="center" wrapText="1"/>
    </xf>
    <xf numFmtId="0" fontId="10" fillId="0" borderId="1" xfId="0" applyFont="1" applyBorder="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hyperlink" Target="..\..\Drawings\A-101%20Floor%20Plan.pdf" TargetMode="External"/><Relationship Id="rId2" Type="http://schemas.openxmlformats.org/officeDocument/2006/relationships/hyperlink" Target="..\..\Drawings\A-601%20Finish%20Schedule.pdf" TargetMode="External"/></Relationships>
</file>

<file path=xl/worksheets/sheet1.xml><?xml version="1.0" encoding="utf-8"?>
<worksheet xmlns="http://schemas.openxmlformats.org/spreadsheetml/2006/main" xmlns:r="http://schemas.openxmlformats.org/officeDocument/2006/relationships">
  <dimension ref="A1:D29"/>
  <sheetViews>
    <sheetView showGridLines="0" tabSelected="1"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37.7109375" customWidth="1"/>
    <col min="2" max="2" width="16.7109375" customWidth="1"/>
    <col min="3" max="3" width="12.7109375" customWidth="1"/>
    <col min="4" max="4" width="58.7109375" customWidth="1"/>
  </cols>
  <sheetData>
    <row r="1" spans="1:4" ht="31" customHeight="1">
      <c r="A1" s="1" t="s">
        <v>0</v>
      </c>
      <c r="B1" s="1"/>
      <c r="C1" s="1"/>
      <c r="D1" s="1"/>
    </row>
    <row r="2" spans="1:4" ht="32" customHeight="1">
      <c r="A2" s="2" t="s">
        <v>1</v>
      </c>
      <c r="B2" s="2"/>
      <c r="C2" s="2"/>
      <c r="D2" s="2"/>
    </row>
    <row r="3" spans="1:4" ht="9" customHeight="1"/>
    <row r="4" spans="1:4" ht="30" customHeight="1">
      <c r="A4" s="3" t="s">
        <v>163</v>
      </c>
      <c r="B4" s="3" t="s">
        <v>253</v>
      </c>
      <c r="C4" s="3" t="s">
        <v>20</v>
      </c>
      <c r="D4" s="3" t="s">
        <v>254</v>
      </c>
    </row>
    <row r="5" spans="1:4" ht="30" customHeight="1">
      <c r="A5" s="4" t="s">
        <v>128</v>
      </c>
      <c r="B5" s="5">
        <f>Areas!D5</f>
        <v>260.1875</v>
      </c>
      <c r="C5" s="4" t="s">
        <v>168</v>
      </c>
      <c r="D5" s="4" t="s">
        <v>255</v>
      </c>
    </row>
    <row r="6" spans="1:4" ht="30" customHeight="1">
      <c r="A6" s="4" t="s">
        <v>130</v>
      </c>
      <c r="B6" s="5">
        <f>Areas!D6</f>
        <v>213.16015625</v>
      </c>
      <c r="C6" s="4" t="s">
        <v>168</v>
      </c>
      <c r="D6" s="4" t="s">
        <v>256</v>
      </c>
    </row>
    <row r="7" spans="1:4" ht="30" customHeight="1">
      <c r="A7" s="4" t="s">
        <v>132</v>
      </c>
      <c r="B7" s="5">
        <f>Areas!D7</f>
        <v>90.87890625</v>
      </c>
      <c r="C7" s="4" t="s">
        <v>168</v>
      </c>
      <c r="D7" s="4" t="s">
        <v>257</v>
      </c>
    </row>
    <row r="8" spans="1:4" ht="30" customHeight="1">
      <c r="A8" s="4" t="s">
        <v>134</v>
      </c>
      <c r="B8" s="5">
        <f>Areas!D8</f>
        <v>83.7890625</v>
      </c>
      <c r="C8" s="4" t="s">
        <v>168</v>
      </c>
      <c r="D8" s="4" t="s">
        <v>258</v>
      </c>
    </row>
    <row r="9" spans="1:4" ht="30" customHeight="1">
      <c r="A9" s="6" t="s">
        <v>259</v>
      </c>
      <c r="B9" s="6">
        <f>Areas!D10</f>
        <v>648.015625</v>
      </c>
      <c r="C9" s="6" t="s">
        <v>168</v>
      </c>
      <c r="D9" s="4" t="s">
        <v>260</v>
      </c>
    </row>
    <row r="10" spans="1:4" ht="30" customHeight="1">
      <c r="A10" s="6" t="s">
        <v>261</v>
      </c>
      <c r="B10" s="6">
        <f>Areas!D13</f>
        <v>720.0</v>
      </c>
      <c r="C10" s="6" t="s">
        <v>168</v>
      </c>
      <c r="D10" s="4" t="s">
        <v>262</v>
      </c>
    </row>
    <row r="11" spans="1:4" ht="30" customHeight="1">
      <c r="A11" s="4" t="s">
        <v>263</v>
      </c>
      <c r="B11" s="7">
        <f>Areas!D15</f>
        <v>66.8901888</v>
      </c>
      <c r="C11" s="4" t="s">
        <v>264</v>
      </c>
      <c r="D11" s="4" t="s">
        <v>265</v>
      </c>
    </row>
    <row r="12" spans="1:4" ht="9" customHeight="1"/>
    <row r="13" spans="1:4" ht="30" customHeight="1">
      <c r="A13" s="4" t="s">
        <v>266</v>
      </c>
      <c r="B13" s="5">
        <f>Walls!B9</f>
        <v>51.0</v>
      </c>
      <c r="C13" s="4" t="s">
        <v>241</v>
      </c>
      <c r="D13" s="4" t="s">
        <v>267</v>
      </c>
    </row>
    <row r="14" spans="1:4" ht="30" customHeight="1">
      <c r="A14" s="4" t="s">
        <v>268</v>
      </c>
      <c r="B14" s="7">
        <f>Walls!B10</f>
        <v>15.5448</v>
      </c>
      <c r="C14" s="4" t="s">
        <v>269</v>
      </c>
      <c r="D14" s="4" t="s">
        <v>270</v>
      </c>
    </row>
    <row r="15" spans="1:4" ht="30" customHeight="1">
      <c r="A15" s="4" t="s">
        <v>271</v>
      </c>
      <c r="B15" s="5">
        <f>Walls!B12</f>
        <v>108.0</v>
      </c>
      <c r="C15" s="4" t="s">
        <v>241</v>
      </c>
      <c r="D15" s="4" t="s">
        <v>272</v>
      </c>
    </row>
    <row r="16" spans="1:4" ht="9" customHeight="1"/>
    <row r="17" spans="1:4" ht="30" customHeight="1">
      <c r="A17" s="4" t="s">
        <v>273</v>
      </c>
      <c r="B17" s="5">
        <f>Walls!B17</f>
        <v>762.2777777777778</v>
      </c>
      <c r="C17" s="4" t="s">
        <v>168</v>
      </c>
      <c r="D17" s="4" t="s">
        <v>274</v>
      </c>
    </row>
    <row r="18" spans="1:4" ht="30" customHeight="1">
      <c r="A18" s="4" t="s">
        <v>275</v>
      </c>
      <c r="B18" s="5">
        <f>Walls!B19</f>
        <v>76.22777777777777</v>
      </c>
      <c r="C18" s="4" t="s">
        <v>168</v>
      </c>
      <c r="D18" s="4" t="s">
        <v>276</v>
      </c>
    </row>
    <row r="19" spans="1:4" ht="30" customHeight="1">
      <c r="A19" s="6" t="s">
        <v>277</v>
      </c>
      <c r="B19" s="6">
        <f>Walls!B20</f>
        <v>838.5055555555556</v>
      </c>
      <c r="C19" s="6" t="s">
        <v>168</v>
      </c>
      <c r="D19" s="4" t="s">
        <v>278</v>
      </c>
    </row>
    <row r="20" spans="1:4" ht="9" customHeight="1"/>
    <row r="21" spans="1:4" ht="30" customHeight="1">
      <c r="A21" s="4" t="s">
        <v>279</v>
      </c>
      <c r="B21" s="5">
        <f>Flooring!F12</f>
        <v>506.4819921875</v>
      </c>
      <c r="C21" s="4" t="s">
        <v>168</v>
      </c>
      <c r="D21" s="4" t="s">
        <v>280</v>
      </c>
    </row>
    <row r="22" spans="1:4" ht="30" customHeight="1">
      <c r="A22" s="4" t="s">
        <v>281</v>
      </c>
      <c r="B22" s="5">
        <f>Flooring!F13</f>
        <v>99.966796875</v>
      </c>
      <c r="C22" s="4" t="s">
        <v>168</v>
      </c>
      <c r="D22" s="4" t="s">
        <v>282</v>
      </c>
    </row>
    <row r="23" spans="1:4" ht="30" customHeight="1">
      <c r="A23" s="4" t="s">
        <v>283</v>
      </c>
      <c r="B23" s="5">
        <f>Flooring!C14</f>
        <v>83.7890625</v>
      </c>
      <c r="C23" s="4" t="s">
        <v>168</v>
      </c>
      <c r="D23" s="4" t="s">
        <v>284</v>
      </c>
    </row>
    <row r="24" spans="1:4" ht="9" customHeight="1"/>
    <row r="25" spans="1:4" ht="30" customHeight="1">
      <c r="A25" s="6" t="s">
        <v>285</v>
      </c>
      <c r="B25" s="6">
        <f>Base!C21</f>
        <v>178.66666666666666</v>
      </c>
      <c r="C25" s="6" t="s">
        <v>241</v>
      </c>
      <c r="D25" s="4" t="s">
        <v>286</v>
      </c>
    </row>
    <row r="26" spans="1:4" ht="9" customHeight="1"/>
    <row r="27" spans="1:4" ht="42" customHeight="1">
      <c r="A27" s="8" t="s">
        <v>287</v>
      </c>
      <c r="B27" s="8"/>
      <c r="C27" s="8"/>
      <c r="D27" s="8"/>
    </row>
    <row r="28" spans="1:4" ht="9" customHeight="1"/>
    <row r="29" spans="1:4" ht="39" customHeight="1">
      <c r="A29" s="9" t="s">
        <v>288</v>
      </c>
      <c r="B29" s="9"/>
      <c r="C29" s="9"/>
      <c r="D29" s="9"/>
    </row>
  </sheetData>
  <mergeCells count="4">
    <mergeCell ref="A1:D1"/>
    <mergeCell ref="A2:D2"/>
    <mergeCell ref="A27:D27"/>
    <mergeCell ref="A29:D29"/>
  </mergeCells>
  <pageMargins left="0.3" right="0.3" top="0.4" bottom="0.4" header="0.18" footer="0.18"/>
  <pageSetup paperSize="1" scale="95" orientation="landscape"/>
  <headerFooter>
    <oddHeader>&amp;LJuniper Street Architects, Inc.&amp;RMaple Court ADU | Rev 01</oddHeader>
    <oddFooter>&amp;LPrepared October 13, 2026 | DD quantities&amp;CSummary&amp;RPage &amp;P of &amp;N</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dimension ref="A1:G42"/>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10.7109375" customWidth="1"/>
    <col min="2" max="2" width="27.7109375" customWidth="1"/>
    <col min="3" max="3" width="23.7109375" customWidth="1"/>
    <col min="4" max="4" width="12.7109375" customWidth="1"/>
    <col min="5" max="5" width="8.7109375" customWidth="1"/>
    <col min="6" max="6" width="13.7109375" customWidth="1"/>
    <col min="7" max="7" width="38.7109375" customWidth="1"/>
  </cols>
  <sheetData>
    <row r="1" spans="1:7" ht="31" customHeight="1">
      <c r="A1" s="1" t="s">
        <v>2</v>
      </c>
      <c r="B1" s="1"/>
      <c r="C1" s="1"/>
      <c r="D1" s="1"/>
      <c r="E1" s="1"/>
      <c r="F1" s="1"/>
      <c r="G1" s="1"/>
    </row>
    <row r="2" spans="1:7" ht="32" customHeight="1">
      <c r="A2" s="2" t="s">
        <v>3</v>
      </c>
      <c r="B2" s="2"/>
      <c r="C2" s="2"/>
      <c r="D2" s="2"/>
      <c r="E2" s="2"/>
      <c r="F2" s="2"/>
      <c r="G2" s="2"/>
    </row>
    <row r="3" spans="1:7" ht="9" customHeight="1"/>
    <row r="4" spans="1:7" ht="30" customHeight="1">
      <c r="A4" s="3" t="s">
        <v>16</v>
      </c>
      <c r="B4" s="3" t="s">
        <v>17</v>
      </c>
      <c r="C4" s="3" t="s">
        <v>18</v>
      </c>
      <c r="D4" s="3" t="s">
        <v>19</v>
      </c>
      <c r="E4" s="3" t="s">
        <v>20</v>
      </c>
      <c r="F4" s="3" t="s">
        <v>21</v>
      </c>
      <c r="G4" s="3" t="s">
        <v>22</v>
      </c>
    </row>
    <row r="5" spans="1:7" ht="35" customHeight="1">
      <c r="A5" s="4" t="s">
        <v>23</v>
      </c>
      <c r="B5" s="4" t="s">
        <v>24</v>
      </c>
      <c r="C5" s="4" t="s">
        <v>25</v>
      </c>
      <c r="D5" s="10">
        <v>288</v>
      </c>
      <c r="E5" s="4" t="s">
        <v>26</v>
      </c>
      <c r="F5" s="7">
        <f>D5/12</f>
        <v>24.0</v>
      </c>
      <c r="G5" s="4" t="s">
        <v>27</v>
      </c>
    </row>
    <row r="6" spans="1:7" ht="35" customHeight="1">
      <c r="A6" s="4" t="s">
        <v>28</v>
      </c>
      <c r="B6" s="4" t="s">
        <v>29</v>
      </c>
      <c r="C6" s="4" t="s">
        <v>30</v>
      </c>
      <c r="D6" s="10">
        <v>360</v>
      </c>
      <c r="E6" s="4" t="s">
        <v>26</v>
      </c>
      <c r="F6" s="7">
        <f>D6/12</f>
        <v>30.0</v>
      </c>
      <c r="G6" s="4" t="s">
        <v>31</v>
      </c>
    </row>
    <row r="7" spans="1:7" ht="35" customHeight="1">
      <c r="A7" s="4" t="s">
        <v>32</v>
      </c>
      <c r="B7" s="4" t="s">
        <v>33</v>
      </c>
      <c r="C7" s="4" t="s">
        <v>34</v>
      </c>
      <c r="D7" s="10">
        <v>276</v>
      </c>
      <c r="E7" s="4" t="s">
        <v>26</v>
      </c>
      <c r="F7" s="7">
        <f>D7/12</f>
        <v>23.0</v>
      </c>
      <c r="G7" s="4" t="s">
        <v>35</v>
      </c>
    </row>
    <row r="8" spans="1:7" ht="35" customHeight="1">
      <c r="A8" s="4" t="s">
        <v>36</v>
      </c>
      <c r="B8" s="4" t="s">
        <v>37</v>
      </c>
      <c r="C8" s="4" t="s">
        <v>38</v>
      </c>
      <c r="D8" s="10">
        <v>135.75</v>
      </c>
      <c r="E8" s="4" t="s">
        <v>26</v>
      </c>
      <c r="F8" s="7">
        <f>D8/12</f>
        <v>11.3125</v>
      </c>
      <c r="G8" s="4" t="s">
        <v>35</v>
      </c>
    </row>
    <row r="9" spans="1:7" ht="35" customHeight="1">
      <c r="A9" s="4" t="s">
        <v>39</v>
      </c>
      <c r="B9" s="4" t="s">
        <v>40</v>
      </c>
      <c r="C9" s="4" t="s">
        <v>41</v>
      </c>
      <c r="D9" s="10">
        <v>147.75</v>
      </c>
      <c r="E9" s="4" t="s">
        <v>26</v>
      </c>
      <c r="F9" s="7">
        <f>D9/12</f>
        <v>12.3125</v>
      </c>
      <c r="G9" s="4" t="s">
        <v>42</v>
      </c>
    </row>
    <row r="10" spans="1:7" ht="35" customHeight="1">
      <c r="A10" s="4" t="s">
        <v>43</v>
      </c>
      <c r="B10" s="4" t="s">
        <v>44</v>
      </c>
      <c r="C10" s="4" t="s">
        <v>45</v>
      </c>
      <c r="D10" s="10">
        <v>207.75</v>
      </c>
      <c r="E10" s="4" t="s">
        <v>26</v>
      </c>
      <c r="F10" s="7">
        <f>D10/12</f>
        <v>17.3125</v>
      </c>
      <c r="G10" s="4" t="s">
        <v>42</v>
      </c>
    </row>
    <row r="11" spans="1:7" ht="35" customHeight="1">
      <c r="A11" s="4" t="s">
        <v>46</v>
      </c>
      <c r="B11" s="4" t="s">
        <v>47</v>
      </c>
      <c r="C11" s="4" t="s">
        <v>48</v>
      </c>
      <c r="D11" s="10">
        <v>123.75</v>
      </c>
      <c r="E11" s="4" t="s">
        <v>26</v>
      </c>
      <c r="F11" s="7">
        <f>D11/12</f>
        <v>10.3125</v>
      </c>
      <c r="G11" s="4" t="s">
        <v>49</v>
      </c>
    </row>
    <row r="12" spans="1:7" ht="35" customHeight="1">
      <c r="A12" s="4" t="s">
        <v>50</v>
      </c>
      <c r="B12" s="4" t="s">
        <v>51</v>
      </c>
      <c r="C12" s="4" t="s">
        <v>52</v>
      </c>
      <c r="D12" s="10">
        <v>105.75</v>
      </c>
      <c r="E12" s="4" t="s">
        <v>26</v>
      </c>
      <c r="F12" s="7">
        <f>D12/12</f>
        <v>8.8125</v>
      </c>
      <c r="G12" s="4" t="s">
        <v>49</v>
      </c>
    </row>
    <row r="13" spans="1:7" ht="35" customHeight="1">
      <c r="A13" s="4" t="s">
        <v>53</v>
      </c>
      <c r="B13" s="4" t="s">
        <v>54</v>
      </c>
      <c r="C13" s="4" t="s">
        <v>48</v>
      </c>
      <c r="D13" s="10">
        <v>123.75</v>
      </c>
      <c r="E13" s="4" t="s">
        <v>26</v>
      </c>
      <c r="F13" s="7">
        <f>D13/12</f>
        <v>10.3125</v>
      </c>
      <c r="G13" s="4" t="s">
        <v>55</v>
      </c>
    </row>
    <row r="14" spans="1:7" ht="35" customHeight="1">
      <c r="A14" s="4" t="s">
        <v>56</v>
      </c>
      <c r="B14" s="4" t="s">
        <v>57</v>
      </c>
      <c r="C14" s="4" t="s">
        <v>58</v>
      </c>
      <c r="D14" s="10">
        <v>97.5</v>
      </c>
      <c r="E14" s="4" t="s">
        <v>26</v>
      </c>
      <c r="F14" s="7">
        <f>D14/12</f>
        <v>8.125</v>
      </c>
      <c r="G14" s="4" t="s">
        <v>55</v>
      </c>
    </row>
    <row r="15" spans="1:7" ht="35" customHeight="1">
      <c r="A15" s="4" t="s">
        <v>59</v>
      </c>
      <c r="B15" s="4" t="s">
        <v>60</v>
      </c>
      <c r="C15" s="4" t="s">
        <v>61</v>
      </c>
      <c r="D15" s="10">
        <v>144</v>
      </c>
      <c r="E15" s="4" t="s">
        <v>26</v>
      </c>
      <c r="F15" s="7">
        <f>D15/12</f>
        <v>12.0</v>
      </c>
      <c r="G15" s="4" t="s">
        <v>62</v>
      </c>
    </row>
    <row r="16" spans="1:7" ht="35" customHeight="1">
      <c r="A16" s="4" t="s">
        <v>63</v>
      </c>
      <c r="B16" s="4" t="s">
        <v>64</v>
      </c>
      <c r="C16" s="4" t="s">
        <v>65</v>
      </c>
      <c r="D16" s="10">
        <v>156</v>
      </c>
      <c r="E16" s="4" t="s">
        <v>26</v>
      </c>
      <c r="F16" s="7">
        <f>D16/12</f>
        <v>13.0</v>
      </c>
      <c r="G16" s="4" t="s">
        <v>66</v>
      </c>
    </row>
    <row r="17" spans="1:7" ht="35" customHeight="1">
      <c r="A17" s="4" t="s">
        <v>67</v>
      </c>
      <c r="B17" s="4" t="s">
        <v>68</v>
      </c>
      <c r="C17" s="4" t="s">
        <v>69</v>
      </c>
      <c r="D17" s="10">
        <v>246</v>
      </c>
      <c r="E17" s="4" t="s">
        <v>26</v>
      </c>
      <c r="F17" s="7">
        <f>D17/12</f>
        <v>20.5</v>
      </c>
      <c r="G17" s="4" t="s">
        <v>62</v>
      </c>
    </row>
    <row r="18" spans="1:7" ht="35" customHeight="1">
      <c r="A18" s="4" t="s">
        <v>70</v>
      </c>
      <c r="B18" s="4" t="s">
        <v>71</v>
      </c>
      <c r="C18" s="4" t="s">
        <v>72</v>
      </c>
      <c r="D18" s="10">
        <v>108</v>
      </c>
      <c r="E18" s="4" t="s">
        <v>26</v>
      </c>
      <c r="F18" s="7">
        <f>D18/12</f>
        <v>9.0</v>
      </c>
      <c r="G18" s="4" t="s">
        <v>73</v>
      </c>
    </row>
    <row r="19" spans="1:7" ht="35" customHeight="1">
      <c r="A19" s="4" t="s">
        <v>74</v>
      </c>
      <c r="B19" s="4" t="s">
        <v>75</v>
      </c>
      <c r="C19" s="4" t="s">
        <v>76</v>
      </c>
      <c r="D19" s="10">
        <v>32</v>
      </c>
      <c r="E19" s="4" t="s">
        <v>26</v>
      </c>
      <c r="F19" s="7">
        <f>D19/12</f>
        <v>2.6666666666666665</v>
      </c>
      <c r="G19" s="4" t="s">
        <v>77</v>
      </c>
    </row>
    <row r="20" spans="1:7" ht="35" customHeight="1">
      <c r="A20" s="4" t="s">
        <v>78</v>
      </c>
      <c r="B20" s="4" t="s">
        <v>79</v>
      </c>
      <c r="C20" s="4" t="s">
        <v>80</v>
      </c>
      <c r="D20" s="10">
        <v>80</v>
      </c>
      <c r="E20" s="4" t="s">
        <v>26</v>
      </c>
      <c r="F20" s="7">
        <f>D20/12</f>
        <v>6.666666666666667</v>
      </c>
      <c r="G20" s="4" t="s">
        <v>77</v>
      </c>
    </row>
    <row r="21" spans="1:7" ht="35" customHeight="1">
      <c r="A21" s="4" t="s">
        <v>81</v>
      </c>
      <c r="B21" s="4" t="s">
        <v>82</v>
      </c>
      <c r="C21" s="4" t="s">
        <v>83</v>
      </c>
      <c r="D21" s="10">
        <v>36</v>
      </c>
      <c r="E21" s="4" t="s">
        <v>26</v>
      </c>
      <c r="F21" s="7">
        <f>D21/12</f>
        <v>3.0</v>
      </c>
      <c r="G21" s="4" t="s">
        <v>77</v>
      </c>
    </row>
    <row r="22" spans="1:7" ht="35" customHeight="1">
      <c r="A22" s="4" t="s">
        <v>84</v>
      </c>
      <c r="B22" s="4" t="s">
        <v>85</v>
      </c>
      <c r="C22" s="4" t="s">
        <v>86</v>
      </c>
      <c r="D22" s="10">
        <v>4</v>
      </c>
      <c r="E22" s="4" t="s">
        <v>87</v>
      </c>
      <c r="G22" s="4" t="s">
        <v>77</v>
      </c>
    </row>
    <row r="23" spans="1:7" ht="35" customHeight="1">
      <c r="A23" s="4" t="s">
        <v>88</v>
      </c>
      <c r="B23" s="4" t="s">
        <v>89</v>
      </c>
      <c r="C23" s="4" t="s">
        <v>90</v>
      </c>
      <c r="D23" s="10">
        <v>1</v>
      </c>
      <c r="E23" s="4" t="s">
        <v>87</v>
      </c>
      <c r="G23" s="4" t="s">
        <v>77</v>
      </c>
    </row>
    <row r="24" spans="1:7" ht="35" customHeight="1">
      <c r="A24" s="4" t="s">
        <v>91</v>
      </c>
      <c r="B24" s="4" t="s">
        <v>92</v>
      </c>
      <c r="C24" s="4" t="s">
        <v>93</v>
      </c>
      <c r="D24" s="11">
        <v>0.07000000000000001</v>
      </c>
      <c r="E24" s="4" t="s">
        <v>94</v>
      </c>
      <c r="G24" s="4" t="s">
        <v>95</v>
      </c>
    </row>
    <row r="25" spans="1:7" ht="35" customHeight="1">
      <c r="A25" s="4" t="s">
        <v>96</v>
      </c>
      <c r="B25" s="4" t="s">
        <v>97</v>
      </c>
      <c r="C25" s="4" t="s">
        <v>98</v>
      </c>
      <c r="D25" s="11">
        <v>0.1</v>
      </c>
      <c r="E25" s="4" t="s">
        <v>94</v>
      </c>
      <c r="G25" s="4" t="s">
        <v>95</v>
      </c>
    </row>
    <row r="26" spans="1:7" ht="35" customHeight="1">
      <c r="A26" s="4" t="s">
        <v>99</v>
      </c>
      <c r="B26" s="4" t="s">
        <v>100</v>
      </c>
      <c r="C26" s="4" t="s">
        <v>98</v>
      </c>
      <c r="D26" s="11">
        <v>0.1</v>
      </c>
      <c r="E26" s="4" t="s">
        <v>94</v>
      </c>
      <c r="G26" s="4" t="s">
        <v>101</v>
      </c>
    </row>
    <row r="27" spans="1:7" ht="9" customHeight="1"/>
    <row r="28" spans="1:7" ht="9" customHeight="1"/>
    <row r="29" spans="1:7" ht="30" customHeight="1">
      <c r="A29" s="3" t="s">
        <v>16</v>
      </c>
      <c r="B29" s="3" t="s">
        <v>102</v>
      </c>
      <c r="C29" s="3" t="s">
        <v>103</v>
      </c>
      <c r="D29" s="3" t="s">
        <v>19</v>
      </c>
      <c r="E29" s="3" t="s">
        <v>20</v>
      </c>
      <c r="F29" s="3" t="s">
        <v>21</v>
      </c>
      <c r="G29" s="3" t="s">
        <v>22</v>
      </c>
    </row>
    <row r="30" spans="1:7" ht="48" customHeight="1">
      <c r="A30" s="4" t="s">
        <v>104</v>
      </c>
      <c r="B30" s="4" t="s">
        <v>105</v>
      </c>
      <c r="C30" s="4" t="s">
        <v>106</v>
      </c>
      <c r="E30" s="4" t="s">
        <v>107</v>
      </c>
      <c r="F30" s="7">
        <f>(Inputs!F5-Inputs!F7)/2</f>
        <v>0.5</v>
      </c>
      <c r="G30" s="4" t="s">
        <v>108</v>
      </c>
    </row>
    <row r="31" spans="1:7" ht="48" customHeight="1">
      <c r="A31" s="4" t="s">
        <v>109</v>
      </c>
      <c r="B31" s="4" t="s">
        <v>110</v>
      </c>
      <c r="C31" s="4" t="s">
        <v>111</v>
      </c>
      <c r="E31" s="4" t="s">
        <v>107</v>
      </c>
      <c r="F31" s="7">
        <f>2*(Inputs!F16-F30-Inputs!F9)</f>
        <v>0.375</v>
      </c>
      <c r="G31" s="4" t="s">
        <v>112</v>
      </c>
    </row>
    <row r="32" spans="1:7" ht="48" customHeight="1">
      <c r="A32" s="4" t="s">
        <v>113</v>
      </c>
      <c r="B32" s="4" t="s">
        <v>114</v>
      </c>
      <c r="C32" s="4" t="s">
        <v>115</v>
      </c>
      <c r="E32" s="4" t="s">
        <v>107</v>
      </c>
      <c r="F32" s="7">
        <f>F31/2</f>
        <v>0.1875</v>
      </c>
      <c r="G32" s="4" t="s">
        <v>116</v>
      </c>
    </row>
    <row r="33" spans="1:7" ht="9" customHeight="1"/>
    <row r="34" spans="1:7" ht="42" customHeight="1">
      <c r="A34" s="9" t="s">
        <v>117</v>
      </c>
      <c r="B34" s="9"/>
      <c r="C34" s="9"/>
      <c r="D34" s="9"/>
      <c r="E34" s="9"/>
      <c r="F34" s="9"/>
      <c r="G34" s="9"/>
    </row>
    <row r="35" spans="1:7" ht="9" customHeight="1"/>
    <row r="36" spans="1:7" ht="36" customHeight="1">
      <c r="A36" s="9" t="s">
        <v>118</v>
      </c>
      <c r="B36" s="9"/>
      <c r="C36" s="9"/>
      <c r="D36" s="9"/>
      <c r="E36" s="9"/>
      <c r="F36" s="9"/>
      <c r="G36" s="9"/>
    </row>
    <row r="37" spans="1:7" ht="9" customHeight="1"/>
    <row r="38" spans="1:7" ht="34" customHeight="1">
      <c r="A38" s="9" t="s">
        <v>119</v>
      </c>
      <c r="B38" s="9"/>
      <c r="C38" s="9"/>
      <c r="D38" s="9"/>
      <c r="E38" s="9"/>
      <c r="F38" s="9"/>
      <c r="G38" s="9"/>
    </row>
    <row r="39" spans="1:7" ht="9" customHeight="1"/>
    <row r="40" spans="1:7" ht="36" customHeight="1">
      <c r="A40" s="9" t="s">
        <v>120</v>
      </c>
      <c r="B40" s="9"/>
      <c r="C40" s="9"/>
      <c r="D40" s="9"/>
      <c r="E40" s="9"/>
      <c r="F40" s="9"/>
      <c r="G40" s="9"/>
    </row>
    <row r="41" spans="1:7" ht="9" customHeight="1"/>
    <row r="42" spans="1:7" ht="32" customHeight="1">
      <c r="A42" s="9" t="s">
        <v>121</v>
      </c>
      <c r="B42" s="9"/>
      <c r="C42" s="9"/>
      <c r="D42" s="9"/>
      <c r="E42" s="9"/>
      <c r="F42" s="9"/>
      <c r="G42" s="9"/>
    </row>
  </sheetData>
  <mergeCells count="7">
    <mergeCell ref="A1:G1"/>
    <mergeCell ref="A2:G2"/>
    <mergeCell ref="A34:G34"/>
    <mergeCell ref="A36:G36"/>
    <mergeCell ref="A38:G38"/>
    <mergeCell ref="A40:G40"/>
    <mergeCell ref="A42:G42"/>
  </mergeCells>
  <dataValidations count="22">
    <dataValidation type="decimal" operator="greaterThanOrEqual" allowBlank="1" showInputMessage="1" showErrorMessage="1" sqref="D5">
      <formula1>0</formula1>
    </dataValidation>
    <dataValidation type="decimal" operator="greaterThanOrEqual" allowBlank="1" showInputMessage="1" showErrorMessage="1" sqref="D6">
      <formula1>0</formula1>
    </dataValidation>
    <dataValidation type="decimal" operator="greaterThanOrEqual" allowBlank="1" showInputMessage="1" showErrorMessage="1" sqref="D7">
      <formula1>0</formula1>
    </dataValidation>
    <dataValidation type="decimal" operator="greaterThanOrEqual" allowBlank="1" showInputMessage="1" showErrorMessage="1" sqref="D8">
      <formula1>0</formula1>
    </dataValidation>
    <dataValidation type="decimal" operator="greaterThanOrEqual" allowBlank="1" showInputMessage="1" showErrorMessage="1" sqref="D9">
      <formula1>0</formula1>
    </dataValidation>
    <dataValidation type="decimal" operator="greaterThanOrEqual" allowBlank="1" showInputMessage="1" showErrorMessage="1" sqref="D10">
      <formula1>0</formula1>
    </dataValidation>
    <dataValidation type="decimal" operator="greaterThanOrEqual" allowBlank="1" showInputMessage="1" showErrorMessage="1" sqref="D11">
      <formula1>0</formula1>
    </dataValidation>
    <dataValidation type="decimal" operator="greaterThanOrEqual" allowBlank="1" showInputMessage="1" showErrorMessage="1" sqref="D12">
      <formula1>0</formula1>
    </dataValidation>
    <dataValidation type="decimal" operator="greaterThanOrEqual" allowBlank="1" showInputMessage="1" showErrorMessage="1" sqref="D13">
      <formula1>0</formula1>
    </dataValidation>
    <dataValidation type="decimal" operator="greaterThanOrEqual" allowBlank="1" showInputMessage="1" showErrorMessage="1" sqref="D14">
      <formula1>0</formula1>
    </dataValidation>
    <dataValidation type="decimal" operator="greaterThanOrEqual" allowBlank="1" showInputMessage="1" showErrorMessage="1" sqref="D15">
      <formula1>0</formula1>
    </dataValidation>
    <dataValidation type="decimal" operator="greaterThanOrEqual" allowBlank="1" showInputMessage="1" showErrorMessage="1" sqref="D16">
      <formula1>0</formula1>
    </dataValidation>
    <dataValidation type="decimal" operator="greaterThanOrEqual" allowBlank="1" showInputMessage="1" showErrorMessage="1" sqref="D17">
      <formula1>0</formula1>
    </dataValidation>
    <dataValidation type="decimal" operator="greaterThanOrEqual" allowBlank="1" showInputMessage="1" showErrorMessage="1" sqref="D18">
      <formula1>0</formula1>
    </dataValidation>
    <dataValidation type="decimal" operator="greaterThanOrEqual" allowBlank="1" showInputMessage="1" showErrorMessage="1" sqref="D19">
      <formula1>0</formula1>
    </dataValidation>
    <dataValidation type="decimal" operator="greaterThanOrEqual" allowBlank="1" showInputMessage="1" showErrorMessage="1" sqref="D20">
      <formula1>0</formula1>
    </dataValidation>
    <dataValidation type="decimal" operator="greaterThanOrEqual" allowBlank="1" showInputMessage="1" showErrorMessage="1" sqref="D21">
      <formula1>0</formula1>
    </dataValidation>
    <dataValidation type="whole" operator="greaterThanOrEqual" allowBlank="1" showInputMessage="1" showErrorMessage="1" sqref="D22">
      <formula1>0</formula1>
    </dataValidation>
    <dataValidation type="whole" operator="greaterThanOrEqual" allowBlank="1" showInputMessage="1" showErrorMessage="1" sqref="D23">
      <formula1>0</formula1>
    </dataValidation>
    <dataValidation type="decimal" operator="greaterThanOrEqual" allowBlank="1" showInputMessage="1" showErrorMessage="1" sqref="D24">
      <formula1>0</formula1>
    </dataValidation>
    <dataValidation type="decimal" operator="greaterThanOrEqual" allowBlank="1" showInputMessage="1" showErrorMessage="1" sqref="D25">
      <formula1>0</formula1>
    </dataValidation>
    <dataValidation type="decimal" operator="greaterThanOrEqual" allowBlank="1" showInputMessage="1" showErrorMessage="1" sqref="D26">
      <formula1>0</formula1>
    </dataValidation>
  </dataValidations>
  <pageMargins left="0.3" right="0.3" top="0.4" bottom="0.4" header="0.18" footer="0.18"/>
  <pageSetup paperSize="1" scale="95" orientation="landscape"/>
  <headerFooter>
    <oddHeader>&amp;LJuniper Street Architects, Inc.&amp;RMaple Court ADU | Rev 01</oddHeader>
    <oddFooter>&amp;LPrepared October 13, 2026 | DD quantities&amp;CInputs&amp;RPage &amp;P of &amp;N</oddFooter>
  </headerFooter>
  <rowBreaks count="3" manualBreakCount="3">
    <brk id="15" max="16383" man="1"/>
    <brk id="26" max="16383" man="1"/>
    <brk id="36" max="16383" man="1"/>
  </rowBreaks>
</worksheet>
</file>

<file path=xl/worksheets/sheet3.xml><?xml version="1.0" encoding="utf-8"?>
<worksheet xmlns="http://schemas.openxmlformats.org/spreadsheetml/2006/main" xmlns:r="http://schemas.openxmlformats.org/officeDocument/2006/relationships">
  <dimension ref="A1:F22"/>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25.7109375" customWidth="1"/>
    <col min="2" max="3" width="15.7109375" customWidth="1"/>
    <col min="4" max="5" width="17.7109375" customWidth="1"/>
    <col min="6" max="6" width="42.7109375" customWidth="1"/>
  </cols>
  <sheetData>
    <row r="1" spans="1:6" ht="31" customHeight="1">
      <c r="A1" s="1" t="s">
        <v>4</v>
      </c>
      <c r="B1" s="1"/>
      <c r="C1" s="1"/>
      <c r="D1" s="1"/>
      <c r="E1" s="1"/>
      <c r="F1" s="1"/>
    </row>
    <row r="2" spans="1:6" ht="32" customHeight="1">
      <c r="A2" s="2" t="s">
        <v>5</v>
      </c>
      <c r="B2" s="2"/>
      <c r="C2" s="2"/>
      <c r="D2" s="2"/>
      <c r="E2" s="2"/>
      <c r="F2" s="2"/>
    </row>
    <row r="3" spans="1:6" ht="9" customHeight="1"/>
    <row r="4" spans="1:6" ht="30" customHeight="1">
      <c r="A4" s="3" t="s">
        <v>122</v>
      </c>
      <c r="B4" s="3" t="s">
        <v>123</v>
      </c>
      <c r="C4" s="3" t="s">
        <v>124</v>
      </c>
      <c r="D4" s="3" t="s">
        <v>125</v>
      </c>
      <c r="E4" s="3" t="s">
        <v>126</v>
      </c>
      <c r="F4" s="3" t="s">
        <v>127</v>
      </c>
    </row>
    <row r="5" spans="1:6" ht="45" customHeight="1">
      <c r="A5" s="4" t="s">
        <v>128</v>
      </c>
      <c r="B5" s="7">
        <f>Inputs!F7</f>
        <v>23.0</v>
      </c>
      <c r="C5" s="7">
        <f>Inputs!F8</f>
        <v>11.3125</v>
      </c>
      <c r="D5" s="5">
        <f>B5*C5</f>
        <v>260.1875</v>
      </c>
      <c r="E5" s="5">
        <f>2*(B5+C5)</f>
        <v>68.625</v>
      </c>
      <c r="F5" s="4" t="s">
        <v>129</v>
      </c>
    </row>
    <row r="6" spans="1:6" ht="45" customHeight="1">
      <c r="A6" s="4" t="s">
        <v>130</v>
      </c>
      <c r="B6" s="7">
        <f>Inputs!F9</f>
        <v>12.3125</v>
      </c>
      <c r="C6" s="7">
        <f>Inputs!F10</f>
        <v>17.3125</v>
      </c>
      <c r="D6" s="5">
        <f>B6*C6</f>
        <v>213.16015625</v>
      </c>
      <c r="E6" s="5">
        <f>2*(B6+C6)</f>
        <v>59.25</v>
      </c>
      <c r="F6" s="4" t="s">
        <v>131</v>
      </c>
    </row>
    <row r="7" spans="1:6" ht="45" customHeight="1">
      <c r="A7" s="4" t="s">
        <v>132</v>
      </c>
      <c r="B7" s="7">
        <f>Inputs!F11</f>
        <v>10.3125</v>
      </c>
      <c r="C7" s="7">
        <f>Inputs!F12</f>
        <v>8.8125</v>
      </c>
      <c r="D7" s="5">
        <f>B7*C7</f>
        <v>90.87890625</v>
      </c>
      <c r="E7" s="5">
        <f>2*(B7+C7)</f>
        <v>38.25</v>
      </c>
      <c r="F7" s="4" t="s">
        <v>133</v>
      </c>
    </row>
    <row r="8" spans="1:6" ht="45" customHeight="1">
      <c r="A8" s="4" t="s">
        <v>134</v>
      </c>
      <c r="B8" s="7">
        <f>Inputs!F13</f>
        <v>10.3125</v>
      </c>
      <c r="C8" s="7">
        <f>Inputs!F14</f>
        <v>8.125</v>
      </c>
      <c r="D8" s="5">
        <f>B8*C8</f>
        <v>83.7890625</v>
      </c>
      <c r="E8" s="5">
        <f>2*(B8+C8)</f>
        <v>36.875</v>
      </c>
      <c r="F8" s="4" t="s">
        <v>135</v>
      </c>
    </row>
    <row r="9" spans="1:6" ht="9" customHeight="1"/>
    <row r="10" spans="1:6" ht="27" customHeight="1">
      <c r="A10" s="6" t="s">
        <v>136</v>
      </c>
      <c r="D10" s="6">
        <f>SUM(D5:D8)</f>
        <v>648.015625</v>
      </c>
      <c r="E10" s="6">
        <f>SUM(E5:E8)</f>
        <v>203.0</v>
      </c>
    </row>
    <row r="11" spans="1:6" ht="9" customHeight="1"/>
    <row r="12" spans="1:6" ht="9" customHeight="1"/>
    <row r="13" spans="1:6" ht="45" customHeight="1">
      <c r="A13" s="4" t="s">
        <v>137</v>
      </c>
      <c r="B13" s="5">
        <f>Inputs!F5</f>
        <v>24.0</v>
      </c>
      <c r="C13" s="5">
        <f>Inputs!F6</f>
        <v>30.0</v>
      </c>
      <c r="D13" s="6">
        <f>B13*C13</f>
        <v>720.0</v>
      </c>
      <c r="F13" s="4" t="s">
        <v>138</v>
      </c>
    </row>
    <row r="14" spans="1:6" ht="9" customHeight="1"/>
    <row r="15" spans="1:6" ht="27" customHeight="1">
      <c r="A15" s="4" t="s">
        <v>139</v>
      </c>
      <c r="D15" s="7">
        <f>D13*0.3048^2</f>
        <v>66.8901888</v>
      </c>
      <c r="F15" s="4" t="s">
        <v>140</v>
      </c>
    </row>
    <row r="16" spans="1:6" ht="9" customHeight="1"/>
    <row r="17" spans="1:6" ht="33" customHeight="1">
      <c r="A17" s="4" t="s">
        <v>141</v>
      </c>
      <c r="D17" s="5">
        <f>D13-D10</f>
        <v>71.984375</v>
      </c>
      <c r="F17" s="4" t="s">
        <v>142</v>
      </c>
    </row>
    <row r="18" spans="1:6" ht="9" customHeight="1"/>
    <row r="19" spans="1:6" ht="9" customHeight="1"/>
    <row r="20" spans="1:6" ht="36" customHeight="1">
      <c r="A20" s="9" t="s">
        <v>143</v>
      </c>
      <c r="B20" s="9"/>
      <c r="C20" s="9"/>
      <c r="D20" s="9"/>
      <c r="E20" s="9"/>
      <c r="F20" s="9"/>
    </row>
    <row r="21" spans="1:6" ht="9" customHeight="1"/>
    <row r="22" spans="1:6" ht="30" customHeight="1">
      <c r="A22" s="9" t="s">
        <v>144</v>
      </c>
      <c r="B22" s="9"/>
      <c r="C22" s="9"/>
      <c r="D22" s="9"/>
      <c r="E22" s="9"/>
      <c r="F22" s="9"/>
    </row>
  </sheetData>
  <mergeCells count="4">
    <mergeCell ref="A1:F1"/>
    <mergeCell ref="A2:F2"/>
    <mergeCell ref="A20:F20"/>
    <mergeCell ref="A22:F22"/>
  </mergeCells>
  <pageMargins left="0.3" right="0.3" top="0.4" bottom="0.4" header="0.18" footer="0.18"/>
  <pageSetup paperSize="1" scale="95" orientation="landscape"/>
  <headerFooter>
    <oddHeader>&amp;LJuniper Street Architects, Inc.&amp;RMaple Court ADU | Rev 01</oddHeader>
    <oddFooter>&amp;LPrepared October 13, 2026 | DD quantities&amp;CAreas&amp;RPage &amp;P of &amp;N</oddFooter>
  </headerFooter>
</worksheet>
</file>

<file path=xl/worksheets/sheet4.xml><?xml version="1.0" encoding="utf-8"?>
<worksheet xmlns="http://schemas.openxmlformats.org/spreadsheetml/2006/main" xmlns:r="http://schemas.openxmlformats.org/officeDocument/2006/relationships">
  <dimension ref="A1:F32"/>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24.7109375" customWidth="1"/>
    <col min="2" max="2" width="15.7109375" customWidth="1"/>
    <col min="3" max="5" width="17.7109375" customWidth="1"/>
    <col min="6" max="6" width="41.7109375" customWidth="1"/>
  </cols>
  <sheetData>
    <row r="1" spans="1:6" ht="31" customHeight="1">
      <c r="A1" s="1" t="s">
        <v>6</v>
      </c>
      <c r="B1" s="1"/>
      <c r="C1" s="1"/>
      <c r="D1" s="1"/>
      <c r="E1" s="1"/>
      <c r="F1" s="1"/>
    </row>
    <row r="2" spans="1:6" ht="32" customHeight="1">
      <c r="A2" s="2" t="s">
        <v>7</v>
      </c>
      <c r="B2" s="2"/>
      <c r="C2" s="2"/>
      <c r="D2" s="2"/>
      <c r="E2" s="2"/>
      <c r="F2" s="2"/>
    </row>
    <row r="3" spans="1:6" ht="9" customHeight="1"/>
    <row r="4" spans="1:6" ht="30" customHeight="1">
      <c r="A4" s="3" t="s">
        <v>145</v>
      </c>
      <c r="B4" s="3" t="s">
        <v>146</v>
      </c>
      <c r="C4" s="3" t="s">
        <v>147</v>
      </c>
      <c r="D4" s="3" t="s">
        <v>148</v>
      </c>
      <c r="E4" s="3" t="s">
        <v>149</v>
      </c>
      <c r="F4" s="3" t="s">
        <v>150</v>
      </c>
    </row>
    <row r="5" spans="1:6" ht="64" customHeight="1">
      <c r="A5" s="4" t="s">
        <v>151</v>
      </c>
      <c r="B5" s="5">
        <f>Inputs!F7</f>
        <v>23.0</v>
      </c>
      <c r="C5" s="5">
        <f>Inputs!F7</f>
        <v>23.0</v>
      </c>
      <c r="D5" s="5">
        <f>Inputs!F9+Inputs!F13</f>
        <v>22.625</v>
      </c>
      <c r="E5" s="5">
        <f>C5+D5</f>
        <v>45.625</v>
      </c>
      <c r="F5" s="4" t="s">
        <v>152</v>
      </c>
    </row>
    <row r="6" spans="1:6" ht="64" customHeight="1">
      <c r="A6" s="4" t="s">
        <v>153</v>
      </c>
      <c r="B6" s="5">
        <f>Inputs!F6-Inputs!F15-Inputs!F30</f>
        <v>17.5</v>
      </c>
      <c r="C6" s="5">
        <f>Inputs!F10</f>
        <v>17.3125</v>
      </c>
      <c r="D6" s="5">
        <f>Inputs!F12+Inputs!F14</f>
        <v>16.9375</v>
      </c>
      <c r="E6" s="5">
        <f>C6+D6</f>
        <v>34.25</v>
      </c>
      <c r="F6" s="4" t="s">
        <v>154</v>
      </c>
    </row>
    <row r="7" spans="1:6" ht="64" customHeight="1">
      <c r="A7" s="4" t="s">
        <v>155</v>
      </c>
      <c r="B7" s="5">
        <f>Inputs!F5-Inputs!F16-Inputs!F30</f>
        <v>10.5</v>
      </c>
      <c r="C7" s="5">
        <f>Inputs!F11</f>
        <v>10.3125</v>
      </c>
      <c r="D7" s="5">
        <f>Inputs!F13</f>
        <v>10.3125</v>
      </c>
      <c r="E7" s="5">
        <f>C7+D7</f>
        <v>20.625</v>
      </c>
      <c r="F7" s="4" t="s">
        <v>156</v>
      </c>
    </row>
    <row r="8" spans="1:6" ht="9" customHeight="1"/>
    <row r="9" spans="1:6" ht="27" customHeight="1">
      <c r="A9" s="6" t="s">
        <v>157</v>
      </c>
      <c r="B9" s="6">
        <f>SUM(B5:B7)</f>
        <v>51.0</v>
      </c>
      <c r="E9" s="6">
        <f>SUM(E5:E7)</f>
        <v>100.5</v>
      </c>
    </row>
    <row r="10" spans="1:6" ht="27" customHeight="1">
      <c r="A10" s="4" t="s">
        <v>158</v>
      </c>
      <c r="B10" s="7">
        <f>B9*0.3048</f>
        <v>15.5448</v>
      </c>
      <c r="F10" s="4" t="s">
        <v>159</v>
      </c>
    </row>
    <row r="11" spans="1:6" ht="9" customHeight="1"/>
    <row r="12" spans="1:6" ht="42" customHeight="1">
      <c r="A12" s="4" t="s">
        <v>160</v>
      </c>
      <c r="B12" s="6">
        <f>2*(Inputs!F5+Inputs!F6)</f>
        <v>108.0</v>
      </c>
      <c r="F12" s="4" t="s">
        <v>161</v>
      </c>
    </row>
    <row r="13" spans="1:6" ht="9" customHeight="1"/>
    <row r="14" spans="1:6" ht="30" customHeight="1">
      <c r="A14" s="3" t="s">
        <v>162</v>
      </c>
      <c r="B14" s="3" t="s">
        <v>163</v>
      </c>
      <c r="C14" s="3" t="s">
        <v>20</v>
      </c>
      <c r="D14" s="3" t="s">
        <v>164</v>
      </c>
      <c r="E14" s="3" t="s">
        <v>165</v>
      </c>
      <c r="F14" s="3" t="s">
        <v>166</v>
      </c>
    </row>
    <row r="15" spans="1:6" ht="34" customHeight="1">
      <c r="A15" s="4" t="s">
        <v>167</v>
      </c>
      <c r="B15" s="5">
        <f>E9*Inputs!F18</f>
        <v>904.5</v>
      </c>
      <c r="C15" s="4" t="s">
        <v>168</v>
      </c>
      <c r="D15" s="4" t="s">
        <v>169</v>
      </c>
      <c r="F15" s="4" t="s">
        <v>170</v>
      </c>
    </row>
    <row r="16" spans="1:6" ht="34" customHeight="1">
      <c r="A16" s="4" t="s">
        <v>171</v>
      </c>
      <c r="B16" s="5">
        <f>Inputs!D22*2*Inputs!F19*Inputs!F20</f>
        <v>142.22222222222223</v>
      </c>
      <c r="C16" s="4" t="s">
        <v>168</v>
      </c>
      <c r="D16" s="4" t="s">
        <v>172</v>
      </c>
      <c r="F16" s="4" t="s">
        <v>173</v>
      </c>
    </row>
    <row r="17" spans="1:6" ht="34" customHeight="1">
      <c r="A17" s="4" t="s">
        <v>174</v>
      </c>
      <c r="B17" s="5">
        <f>B15-B16</f>
        <v>762.2777777777778</v>
      </c>
      <c r="C17" s="4" t="s">
        <v>168</v>
      </c>
      <c r="D17" s="4" t="s">
        <v>175</v>
      </c>
      <c r="F17" s="4" t="s">
        <v>176</v>
      </c>
    </row>
    <row r="18" spans="1:6" ht="34" customHeight="1">
      <c r="A18" s="4" t="s">
        <v>177</v>
      </c>
      <c r="B18" s="11">
        <f>Inputs!D26</f>
        <v>0.1</v>
      </c>
      <c r="C18" s="4" t="s">
        <v>94</v>
      </c>
      <c r="D18" s="4" t="s">
        <v>178</v>
      </c>
      <c r="F18" s="4" t="s">
        <v>179</v>
      </c>
    </row>
    <row r="19" spans="1:6" ht="34" customHeight="1">
      <c r="A19" s="4" t="s">
        <v>180</v>
      </c>
      <c r="B19" s="5">
        <f>B17*B18</f>
        <v>76.22777777777777</v>
      </c>
      <c r="C19" s="4" t="s">
        <v>168</v>
      </c>
      <c r="D19" s="4" t="s">
        <v>181</v>
      </c>
      <c r="F19" s="4" t="s">
        <v>182</v>
      </c>
    </row>
    <row r="20" spans="1:6" ht="34" customHeight="1">
      <c r="A20" s="6" t="s">
        <v>183</v>
      </c>
      <c r="B20" s="6">
        <f>B17+B19</f>
        <v>838.5055555555556</v>
      </c>
      <c r="C20" s="4" t="s">
        <v>168</v>
      </c>
      <c r="D20" s="4" t="s">
        <v>184</v>
      </c>
      <c r="F20" s="4" t="s">
        <v>185</v>
      </c>
    </row>
    <row r="21" spans="1:6" ht="9" customHeight="1"/>
    <row r="22" spans="1:6" ht="34" customHeight="1">
      <c r="A22" s="9" t="s">
        <v>186</v>
      </c>
      <c r="B22" s="9"/>
      <c r="C22" s="9"/>
      <c r="D22" s="9"/>
      <c r="E22" s="9"/>
      <c r="F22" s="9"/>
    </row>
    <row r="23" spans="1:6" ht="9" customHeight="1"/>
    <row r="24" spans="1:6" ht="30" customHeight="1">
      <c r="A24" s="3" t="s">
        <v>187</v>
      </c>
      <c r="B24" s="3" t="s">
        <v>163</v>
      </c>
      <c r="C24" s="3" t="s">
        <v>20</v>
      </c>
      <c r="D24" s="3" t="s">
        <v>188</v>
      </c>
      <c r="E24" s="3" t="s">
        <v>189</v>
      </c>
      <c r="F24" s="3" t="s">
        <v>166</v>
      </c>
    </row>
    <row r="25" spans="1:6" ht="32" customHeight="1">
      <c r="A25" s="4" t="s">
        <v>190</v>
      </c>
      <c r="B25" s="5">
        <f>2*B9*Inputs!F18</f>
        <v>918.0</v>
      </c>
      <c r="C25" s="4" t="s">
        <v>168</v>
      </c>
      <c r="F25" s="4" t="s">
        <v>191</v>
      </c>
    </row>
    <row r="26" spans="1:6" ht="33" customHeight="1">
      <c r="A26" s="4" t="s">
        <v>192</v>
      </c>
      <c r="B26" s="5">
        <f>B25-B16</f>
        <v>775.7777777777778</v>
      </c>
      <c r="C26" s="4" t="s">
        <v>168</v>
      </c>
    </row>
    <row r="27" spans="1:6" ht="33" customHeight="1">
      <c r="A27" s="4" t="s">
        <v>193</v>
      </c>
      <c r="B27" s="5">
        <f>B26*(1+B18)</f>
        <v>853.3555555555556</v>
      </c>
      <c r="C27" s="4" t="s">
        <v>168</v>
      </c>
      <c r="D27" s="4" t="s">
        <v>194</v>
      </c>
      <c r="F27" s="4" t="s">
        <v>195</v>
      </c>
    </row>
    <row r="28" spans="1:6" ht="9" customHeight="1"/>
    <row r="29" spans="1:6" ht="9" customHeight="1"/>
    <row r="30" spans="1:6" ht="40" customHeight="1">
      <c r="A30" s="9" t="s">
        <v>196</v>
      </c>
      <c r="B30" s="9"/>
      <c r="C30" s="9"/>
      <c r="D30" s="9"/>
      <c r="E30" s="9"/>
      <c r="F30" s="9"/>
    </row>
    <row r="31" spans="1:6" ht="9" customHeight="1"/>
    <row r="32" spans="1:6" ht="40" customHeight="1">
      <c r="A32" s="9" t="s">
        <v>197</v>
      </c>
      <c r="B32" s="9"/>
      <c r="C32" s="9"/>
      <c r="D32" s="9"/>
      <c r="E32" s="9"/>
      <c r="F32" s="9"/>
    </row>
  </sheetData>
  <mergeCells count="5">
    <mergeCell ref="A1:F1"/>
    <mergeCell ref="A2:F2"/>
    <mergeCell ref="A22:F22"/>
    <mergeCell ref="A30:F30"/>
    <mergeCell ref="A32:F32"/>
  </mergeCells>
  <pageMargins left="0.3" right="0.3" top="0.4" bottom="0.4" header="0.18" footer="0.18"/>
  <pageSetup paperSize="1" scale="95" orientation="landscape"/>
  <headerFooter>
    <oddHeader>&amp;LJuniper Street Architects, Inc.&amp;RMaple Court ADU | Rev 01</oddHeader>
    <oddFooter>&amp;LPrepared October 13, 2026 | DD quantities&amp;CWalls&amp;RPage &amp;P of &amp;N</oddFooter>
  </headerFooter>
  <rowBreaks count="2" manualBreakCount="2">
    <brk id="13" max="16383" man="1"/>
    <brk id="23" max="16383" man="1"/>
  </rowBreaks>
</worksheet>
</file>

<file path=xl/worksheets/sheet5.xml><?xml version="1.0" encoding="utf-8"?>
<worksheet xmlns="http://schemas.openxmlformats.org/spreadsheetml/2006/main" xmlns:r="http://schemas.openxmlformats.org/officeDocument/2006/relationships">
  <dimension ref="A1:G21"/>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27.7109375" customWidth="1"/>
    <col min="2" max="2" width="20.7109375" customWidth="1"/>
    <col min="3" max="3" width="15.7109375" customWidth="1"/>
    <col min="4" max="4" width="12.7109375" customWidth="1"/>
    <col min="5" max="5" width="16.7109375" customWidth="1"/>
    <col min="6" max="6" width="17.7109375" customWidth="1"/>
    <col min="7" max="7" width="28.7109375" customWidth="1"/>
  </cols>
  <sheetData>
    <row r="1" spans="1:7" ht="31" customHeight="1">
      <c r="A1" s="1" t="s">
        <v>8</v>
      </c>
      <c r="B1" s="1"/>
      <c r="C1" s="1"/>
      <c r="D1" s="1"/>
      <c r="E1" s="1"/>
      <c r="F1" s="1"/>
      <c r="G1" s="1"/>
    </row>
    <row r="2" spans="1:7" ht="32" customHeight="1">
      <c r="A2" s="2" t="s">
        <v>9</v>
      </c>
      <c r="B2" s="2"/>
      <c r="C2" s="2"/>
      <c r="D2" s="2"/>
      <c r="E2" s="2"/>
      <c r="F2" s="2"/>
      <c r="G2" s="2"/>
    </row>
    <row r="3" spans="1:7" ht="9" customHeight="1"/>
    <row r="4" spans="1:7" ht="30" customHeight="1">
      <c r="A4" s="3" t="s">
        <v>198</v>
      </c>
      <c r="B4" s="3" t="s">
        <v>199</v>
      </c>
      <c r="C4" s="3" t="s">
        <v>200</v>
      </c>
      <c r="D4" s="3" t="s">
        <v>201</v>
      </c>
      <c r="E4" s="3" t="s">
        <v>202</v>
      </c>
      <c r="F4" s="3" t="s">
        <v>203</v>
      </c>
      <c r="G4" s="3" t="s">
        <v>204</v>
      </c>
    </row>
    <row r="5" spans="1:7" ht="55" customHeight="1">
      <c r="A5" s="4" t="s">
        <v>128</v>
      </c>
      <c r="B5" s="4" t="s">
        <v>205</v>
      </c>
      <c r="C5" s="5">
        <f>Areas!D5</f>
        <v>260.1875</v>
      </c>
      <c r="D5" s="11">
        <f>Inputs!D24</f>
        <v>0.07</v>
      </c>
      <c r="E5" s="5">
        <f>C5*D5</f>
        <v>18.213125</v>
      </c>
      <c r="F5" s="5">
        <f>C5+E5</f>
        <v>278.400625</v>
      </c>
      <c r="G5" s="4" t="s">
        <v>206</v>
      </c>
    </row>
    <row r="6" spans="1:7" ht="55" customHeight="1">
      <c r="A6" s="4" t="s">
        <v>130</v>
      </c>
      <c r="B6" s="4" t="s">
        <v>205</v>
      </c>
      <c r="C6" s="5">
        <f>Areas!D6</f>
        <v>213.16015625</v>
      </c>
      <c r="D6" s="11">
        <f>Inputs!D24</f>
        <v>0.07</v>
      </c>
      <c r="E6" s="5">
        <f>C6*D6</f>
        <v>14.9212109375</v>
      </c>
      <c r="F6" s="5">
        <f>C6+E6</f>
        <v>228.0813671875</v>
      </c>
      <c r="G6" s="4" t="s">
        <v>207</v>
      </c>
    </row>
    <row r="7" spans="1:7" ht="55" customHeight="1">
      <c r="A7" s="4" t="s">
        <v>132</v>
      </c>
      <c r="B7" s="4" t="s">
        <v>208</v>
      </c>
      <c r="C7" s="5">
        <f>Areas!D7</f>
        <v>90.87890625</v>
      </c>
      <c r="D7" s="11">
        <f>Inputs!D25</f>
        <v>0.1</v>
      </c>
      <c r="E7" s="5">
        <f>C7*D7</f>
        <v>9.087890625</v>
      </c>
      <c r="F7" s="5">
        <f>C7+E7</f>
        <v>99.966796875</v>
      </c>
      <c r="G7" s="4" t="s">
        <v>209</v>
      </c>
    </row>
    <row r="8" spans="1:7" ht="55" customHeight="1">
      <c r="A8" s="4" t="s">
        <v>134</v>
      </c>
      <c r="B8" s="4" t="s">
        <v>210</v>
      </c>
      <c r="C8" s="5">
        <f>Areas!D8</f>
        <v>83.7890625</v>
      </c>
      <c r="D8" s="8" t="s">
        <v>211</v>
      </c>
      <c r="E8" s="4" t="s">
        <v>212</v>
      </c>
      <c r="F8" s="9" t="s">
        <v>213</v>
      </c>
      <c r="G8" s="4" t="s">
        <v>214</v>
      </c>
    </row>
    <row r="9" spans="1:7" ht="9" customHeight="1"/>
    <row r="10" spans="1:7" ht="9" customHeight="1"/>
    <row r="11" spans="1:7" ht="30" customHeight="1">
      <c r="A11" s="3" t="s">
        <v>215</v>
      </c>
      <c r="B11" s="3" t="s">
        <v>216</v>
      </c>
      <c r="C11" s="3" t="s">
        <v>200</v>
      </c>
      <c r="D11" s="3" t="s">
        <v>201</v>
      </c>
      <c r="E11" s="3" t="s">
        <v>202</v>
      </c>
      <c r="F11" s="3" t="s">
        <v>203</v>
      </c>
      <c r="G11" s="3" t="s">
        <v>204</v>
      </c>
    </row>
    <row r="12" spans="1:7" ht="44" customHeight="1">
      <c r="A12" s="4" t="s">
        <v>205</v>
      </c>
      <c r="B12" s="4" t="s">
        <v>217</v>
      </c>
      <c r="C12" s="5">
        <f>SUM(C5:C6)</f>
        <v>473.34765625</v>
      </c>
      <c r="D12" s="11">
        <f>Inputs!D24</f>
        <v>0.07</v>
      </c>
      <c r="E12" s="5">
        <f>C12*D12</f>
        <v>33.1343359375</v>
      </c>
      <c r="F12" s="6">
        <f>C12+E12</f>
        <v>506.4819921875</v>
      </c>
      <c r="G12" s="4" t="s">
        <v>218</v>
      </c>
    </row>
    <row r="13" spans="1:7" ht="44" customHeight="1">
      <c r="A13" s="4" t="s">
        <v>208</v>
      </c>
      <c r="B13" s="4" t="s">
        <v>132</v>
      </c>
      <c r="C13" s="5">
        <f>C7</f>
        <v>90.87890625</v>
      </c>
      <c r="D13" s="11">
        <f>Inputs!D25</f>
        <v>0.1</v>
      </c>
      <c r="E13" s="5">
        <f>C13*D13</f>
        <v>9.087890625</v>
      </c>
      <c r="F13" s="6">
        <f>C13+E13</f>
        <v>99.966796875</v>
      </c>
      <c r="G13" s="4" t="s">
        <v>218</v>
      </c>
    </row>
    <row r="14" spans="1:7" ht="44" customHeight="1">
      <c r="A14" s="4" t="s">
        <v>210</v>
      </c>
      <c r="B14" s="4" t="s">
        <v>134</v>
      </c>
      <c r="C14" s="6">
        <f>C8</f>
        <v>83.7890625</v>
      </c>
      <c r="D14" s="8" t="s">
        <v>211</v>
      </c>
      <c r="E14" s="4" t="s">
        <v>212</v>
      </c>
      <c r="F14" s="9" t="s">
        <v>213</v>
      </c>
      <c r="G14" s="4" t="s">
        <v>219</v>
      </c>
    </row>
    <row r="15" spans="1:7" ht="9" customHeight="1"/>
    <row r="16" spans="1:7" ht="9" customHeight="1"/>
    <row r="17" spans="1:7" ht="40" customHeight="1">
      <c r="A17" s="9" t="s">
        <v>220</v>
      </c>
      <c r="B17" s="9"/>
      <c r="C17" s="9"/>
      <c r="D17" s="9"/>
      <c r="E17" s="9"/>
      <c r="F17" s="9"/>
      <c r="G17" s="9"/>
    </row>
    <row r="18" spans="1:7" ht="9" customHeight="1"/>
    <row r="19" spans="1:7" ht="35" customHeight="1">
      <c r="A19" s="9" t="s">
        <v>221</v>
      </c>
      <c r="B19" s="9"/>
      <c r="C19" s="9"/>
      <c r="D19" s="9"/>
      <c r="E19" s="9"/>
      <c r="F19" s="9"/>
      <c r="G19" s="9"/>
    </row>
    <row r="20" spans="1:7" ht="9" customHeight="1"/>
    <row r="21" spans="1:7" ht="30" customHeight="1">
      <c r="A21" s="9" t="s">
        <v>222</v>
      </c>
      <c r="B21" s="9"/>
      <c r="C21" s="9"/>
      <c r="D21" s="9"/>
      <c r="E21" s="9"/>
      <c r="F21" s="9"/>
      <c r="G21" s="9"/>
    </row>
  </sheetData>
  <mergeCells count="5">
    <mergeCell ref="A1:G1"/>
    <mergeCell ref="A2:G2"/>
    <mergeCell ref="A17:G17"/>
    <mergeCell ref="A19:G19"/>
    <mergeCell ref="A21:G21"/>
  </mergeCells>
  <pageMargins left="0.3" right="0.3" top="0.4" bottom="0.4" header="0.18" footer="0.18"/>
  <pageSetup paperSize="1" scale="95" orientation="landscape"/>
  <headerFooter>
    <oddHeader>&amp;LJuniper Street Architects, Inc.&amp;RMaple Court ADU | Rev 01</oddHeader>
    <oddFooter>&amp;LPrepared October 13, 2026 | DD quantities&amp;CFlooring&amp;RPage &amp;P of &amp;N</oddFooter>
  </headerFooter>
</worksheet>
</file>

<file path=xl/worksheets/sheet6.xml><?xml version="1.0" encoding="utf-8"?>
<worksheet xmlns="http://schemas.openxmlformats.org/spreadsheetml/2006/main" xmlns:r="http://schemas.openxmlformats.org/officeDocument/2006/relationships">
  <dimension ref="A1:H29"/>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24.7109375" customWidth="1"/>
    <col min="2" max="2" width="20.7109375" customWidth="1"/>
    <col min="3" max="3" width="14.7109375" customWidth="1"/>
    <col min="4" max="4" width="13.7109375" customWidth="1"/>
    <col min="5" max="5" width="12.7109375" customWidth="1"/>
    <col min="6" max="6" width="14.7109375" customWidth="1"/>
    <col min="7" max="7" width="15.7109375" customWidth="1"/>
    <col min="8" max="8" width="26.7109375" customWidth="1"/>
  </cols>
  <sheetData>
    <row r="1" spans="1:8" ht="31" customHeight="1">
      <c r="A1" s="1" t="s">
        <v>10</v>
      </c>
      <c r="B1" s="1"/>
      <c r="C1" s="1"/>
      <c r="D1" s="1"/>
      <c r="E1" s="1"/>
      <c r="F1" s="1"/>
      <c r="G1" s="1"/>
      <c r="H1" s="1"/>
    </row>
    <row r="2" spans="1:8" ht="32" customHeight="1">
      <c r="A2" s="2" t="s">
        <v>11</v>
      </c>
      <c r="B2" s="2"/>
      <c r="C2" s="2"/>
      <c r="D2" s="2"/>
      <c r="E2" s="2"/>
      <c r="F2" s="2"/>
      <c r="G2" s="2"/>
      <c r="H2" s="2"/>
    </row>
    <row r="3" spans="1:8" ht="9" customHeight="1"/>
    <row r="4" spans="1:8" ht="30" customHeight="1">
      <c r="A4" s="3" t="s">
        <v>223</v>
      </c>
      <c r="B4" s="3" t="s">
        <v>224</v>
      </c>
      <c r="C4" s="3" t="s">
        <v>225</v>
      </c>
      <c r="D4" s="3" t="s">
        <v>226</v>
      </c>
      <c r="E4" s="3" t="s">
        <v>89</v>
      </c>
      <c r="F4" s="3" t="s">
        <v>227</v>
      </c>
      <c r="G4" s="3" t="s">
        <v>228</v>
      </c>
      <c r="H4" s="3" t="s">
        <v>229</v>
      </c>
    </row>
    <row r="5" spans="1:8" ht="53" customHeight="1">
      <c r="A5" s="4" t="s">
        <v>128</v>
      </c>
      <c r="B5" s="4" t="s">
        <v>230</v>
      </c>
      <c r="C5" s="5">
        <f>Areas!E5</f>
        <v>68.625</v>
      </c>
      <c r="D5" s="12"/>
      <c r="E5" s="12"/>
      <c r="F5" s="5">
        <f>IF(COUNT(D5:E5)&lt;2,"",D5*Inputs!F19+E5*Inputs!F21)</f>
        <v/>
      </c>
      <c r="G5" s="5">
        <f>IF(COUNT(D5:E5)&lt;2,"",C5-F5)</f>
        <v/>
      </c>
      <c r="H5" s="8" t="str">
        <f>IF(COUNT(D5:E5)&lt;2,"Door allocation needed",IF(G5&lt;0,"Check deduction","Counts entered"))</f>
        <v>Door allocation needed</v>
      </c>
    </row>
    <row r="6" spans="1:8" ht="53" customHeight="1">
      <c r="A6" s="4" t="s">
        <v>130</v>
      </c>
      <c r="B6" s="4" t="s">
        <v>230</v>
      </c>
      <c r="C6" s="5">
        <f>Areas!E6</f>
        <v>59.25</v>
      </c>
      <c r="D6" s="12"/>
      <c r="E6" s="12"/>
      <c r="F6" s="5">
        <f>IF(COUNT(D6:E6)&lt;2,"",D6*Inputs!F19+E6*Inputs!F21)</f>
        <v/>
      </c>
      <c r="G6" s="5">
        <f>IF(COUNT(D6:E6)&lt;2,"",C6-F6)</f>
        <v/>
      </c>
      <c r="H6" s="8" t="str">
        <f>IF(COUNT(D6:E6)&lt;2,"Door allocation needed",IF(G6&lt;0,"Check deduction","Counts entered"))</f>
        <v>Door allocation needed</v>
      </c>
    </row>
    <row r="7" spans="1:8" ht="53" customHeight="1">
      <c r="A7" s="4" t="s">
        <v>132</v>
      </c>
      <c r="B7" s="4" t="s">
        <v>231</v>
      </c>
      <c r="C7" s="5">
        <f>Areas!E7</f>
        <v>38.25</v>
      </c>
      <c r="D7" s="12"/>
      <c r="E7" s="12"/>
      <c r="F7" s="5">
        <f>IF(COUNT(D7:E7)&lt;2,"",D7*Inputs!F19+E7*Inputs!F21)</f>
        <v/>
      </c>
      <c r="G7" s="5">
        <f>IF(COUNT(D7:E7)&lt;2,"",C7-F7)</f>
        <v/>
      </c>
      <c r="H7" s="8" t="str">
        <f>IF(COUNT(D7:E7)&lt;2,"Door allocation needed",IF(G7&lt;0,"Check deduction","Counts entered"))</f>
        <v>Door allocation needed</v>
      </c>
    </row>
    <row r="8" spans="1:8" ht="53" customHeight="1">
      <c r="A8" s="4" t="s">
        <v>134</v>
      </c>
      <c r="B8" s="4" t="s">
        <v>232</v>
      </c>
      <c r="C8" s="5">
        <f>Areas!E8</f>
        <v>36.875</v>
      </c>
      <c r="D8" s="12"/>
      <c r="E8" s="12"/>
      <c r="F8" s="5">
        <f>IF(COUNT(D8:E8)&lt;2,"",D8*Inputs!F19+E8*Inputs!F21)</f>
        <v/>
      </c>
      <c r="G8" s="5">
        <f>IF(COUNT(D8:E8)&lt;2,"",C8-F8)</f>
        <v/>
      </c>
      <c r="H8" s="8" t="str">
        <f>IF(COUNT(D8:E8)&lt;2,"Door allocation needed",IF(G8&lt;0,"Check deduction","Counts entered"))</f>
        <v>Door allocation needed</v>
      </c>
    </row>
    <row r="9" spans="1:8" ht="9" customHeight="1"/>
    <row r="10" spans="1:8" ht="9" customHeight="1"/>
    <row r="11" spans="1:8" ht="30" customHeight="1">
      <c r="A11" s="3" t="s">
        <v>233</v>
      </c>
      <c r="B11" s="3" t="s">
        <v>216</v>
      </c>
      <c r="C11" s="3" t="s">
        <v>225</v>
      </c>
      <c r="D11" s="3" t="s">
        <v>234</v>
      </c>
      <c r="E11" s="3" t="s">
        <v>235</v>
      </c>
      <c r="F11" s="3" t="s">
        <v>227</v>
      </c>
      <c r="G11" s="3" t="s">
        <v>228</v>
      </c>
      <c r="H11" s="3" t="s">
        <v>236</v>
      </c>
    </row>
    <row r="12" spans="1:8" ht="40" customHeight="1">
      <c r="A12" s="4" t="s">
        <v>230</v>
      </c>
      <c r="B12" s="4" t="s">
        <v>237</v>
      </c>
      <c r="C12" s="5">
        <f>SUM(C5:C6)</f>
        <v>127.875</v>
      </c>
      <c r="D12" s="5">
        <f>IF(COUNT(D5:E6)&lt;4,"",SUM(D5:D6))</f>
        <v/>
      </c>
      <c r="E12" s="5">
        <f>IF(COUNT(D5:E6)&lt;4,"",SUM(E5:E6))</f>
        <v/>
      </c>
      <c r="F12" s="5">
        <f>IF(COUNT(D5:E6)&lt;4,"",SUM(F5:F6))</f>
        <v/>
      </c>
      <c r="G12" s="5">
        <f>IF(COUNT(D5:E6)&lt;4,"",SUM(G5:G6))</f>
        <v/>
      </c>
      <c r="H12" s="8" t="str">
        <f>IF(COUNT(D5:E6)&lt;4,"Pending doors","Calculated")</f>
        <v>Pending doors</v>
      </c>
    </row>
    <row r="13" spans="1:8" ht="40" customHeight="1">
      <c r="A13" s="4" t="s">
        <v>231</v>
      </c>
      <c r="B13" s="4" t="s">
        <v>132</v>
      </c>
      <c r="C13" s="5">
        <f>SUM(C7:C7)</f>
        <v>38.25</v>
      </c>
      <c r="D13" s="5">
        <f>IF(COUNT(D7:E7)&lt;2,"",SUM(D7:D7))</f>
        <v/>
      </c>
      <c r="E13" s="5">
        <f>IF(COUNT(D7:E7)&lt;2,"",SUM(E7:E7))</f>
        <v/>
      </c>
      <c r="F13" s="5">
        <f>IF(COUNT(D7:E7)&lt;2,"",SUM(F7:F7))</f>
        <v/>
      </c>
      <c r="G13" s="5">
        <f>IF(COUNT(D7:E7)&lt;2,"",SUM(G7:G7))</f>
        <v/>
      </c>
      <c r="H13" s="8" t="str">
        <f>IF(COUNT(D7:E7)&lt;2,"Pending doors","Calculated")</f>
        <v>Pending doors</v>
      </c>
    </row>
    <row r="14" spans="1:8" ht="40" customHeight="1">
      <c r="A14" s="4" t="s">
        <v>232</v>
      </c>
      <c r="B14" s="4" t="s">
        <v>134</v>
      </c>
      <c r="C14" s="5">
        <f>SUM(C8:C8)</f>
        <v>36.875</v>
      </c>
      <c r="D14" s="5">
        <f>IF(COUNT(D8:E8)&lt;2,"",SUM(D8:D8))</f>
        <v/>
      </c>
      <c r="E14" s="5">
        <f>IF(COUNT(D8:E8)&lt;2,"",SUM(E8:E8))</f>
        <v/>
      </c>
      <c r="F14" s="5">
        <f>IF(COUNT(D8:E8)&lt;2,"",SUM(F8:F8))</f>
        <v/>
      </c>
      <c r="G14" s="5">
        <f>IF(COUNT(D8:E8)&lt;2,"",SUM(G8:G8))</f>
        <v/>
      </c>
      <c r="H14" s="8" t="str">
        <f>IF(COUNT(D8:E8)&lt;2,"Pending doors","Calculated")</f>
        <v>Pending doors</v>
      </c>
    </row>
    <row r="15" spans="1:8" ht="9" customHeight="1"/>
    <row r="16" spans="1:8" ht="9" customHeight="1"/>
    <row r="17" spans="1:8" ht="30" customHeight="1">
      <c r="A17" s="3" t="s">
        <v>238</v>
      </c>
      <c r="B17" s="3" t="s">
        <v>189</v>
      </c>
      <c r="C17" s="3" t="s">
        <v>163</v>
      </c>
      <c r="D17" s="3" t="s">
        <v>20</v>
      </c>
      <c r="E17" s="3" t="s">
        <v>204</v>
      </c>
      <c r="F17" s="3"/>
      <c r="G17" s="3"/>
      <c r="H17" s="3"/>
    </row>
    <row r="18" spans="1:8" ht="39" customHeight="1">
      <c r="A18" s="4" t="s">
        <v>239</v>
      </c>
      <c r="B18" s="4" t="s">
        <v>240</v>
      </c>
      <c r="C18" s="5">
        <f>SUM(C5:C8)</f>
        <v>203.0</v>
      </c>
      <c r="D18" s="4" t="s">
        <v>241</v>
      </c>
      <c r="E18" s="9" t="s">
        <v>242</v>
      </c>
      <c r="F18" s="9"/>
      <c r="G18" s="9"/>
      <c r="H18" s="9"/>
    </row>
    <row r="19" spans="1:8" ht="39" customHeight="1">
      <c r="A19" s="4" t="s">
        <v>243</v>
      </c>
      <c r="B19" s="4" t="s">
        <v>244</v>
      </c>
      <c r="C19" s="5">
        <f>2*Inputs!D22*Inputs!F19</f>
        <v>21.333333333333332</v>
      </c>
      <c r="D19" s="4" t="s">
        <v>241</v>
      </c>
      <c r="E19" s="9" t="s">
        <v>242</v>
      </c>
      <c r="F19" s="9"/>
      <c r="G19" s="9"/>
      <c r="H19" s="9"/>
    </row>
    <row r="20" spans="1:8" ht="39" customHeight="1">
      <c r="A20" s="4" t="s">
        <v>245</v>
      </c>
      <c r="B20" s="4" t="s">
        <v>246</v>
      </c>
      <c r="C20" s="5">
        <f>Inputs!D23*Inputs!F21</f>
        <v>3.0</v>
      </c>
      <c r="D20" s="4" t="s">
        <v>241</v>
      </c>
      <c r="E20" s="9" t="s">
        <v>242</v>
      </c>
      <c r="F20" s="9"/>
      <c r="G20" s="9"/>
      <c r="H20" s="9"/>
    </row>
    <row r="21" spans="1:8" ht="45" customHeight="1">
      <c r="A21" s="6" t="s">
        <v>247</v>
      </c>
      <c r="B21" s="4" t="s">
        <v>248</v>
      </c>
      <c r="C21" s="6">
        <f>C18-C19-C20</f>
        <v>178.66666666666666</v>
      </c>
      <c r="D21" s="4" t="s">
        <v>241</v>
      </c>
      <c r="E21" s="9" t="s">
        <v>242</v>
      </c>
      <c r="F21" s="9"/>
      <c r="G21" s="9"/>
      <c r="H21" s="9"/>
    </row>
    <row r="22" spans="1:8" ht="9" customHeight="1"/>
    <row r="23" spans="1:8" ht="46" customHeight="1">
      <c r="A23" s="8" t="str">
        <f>IF(COUNT(D5:E8)&lt;8,"OPEN: enter all room door counts",IF(AND(SUM(D5:D8)=Inputs!D22*2,SUM(E5:E8)=Inputs!D23,MIN(G5:G8)&gt;=0),"PASS: door counts reconcile","CHECK: door counts do not reconcile"))</f>
        <v>OPEN: enter all room door counts</v>
      </c>
      <c r="B23" s="8" t="s">
        <v>249</v>
      </c>
      <c r="C23" s="8"/>
      <c r="D23" s="8"/>
      <c r="E23" s="8"/>
      <c r="F23" s="8"/>
      <c r="G23" s="8"/>
      <c r="H23" s="8"/>
    </row>
    <row r="24" spans="1:8" ht="9" customHeight="1"/>
    <row r="25" spans="1:8" ht="35" customHeight="1">
      <c r="A25" s="9" t="s">
        <v>250</v>
      </c>
      <c r="B25" s="9"/>
      <c r="C25" s="9"/>
      <c r="D25" s="9"/>
      <c r="E25" s="9"/>
      <c r="F25" s="9"/>
      <c r="G25" s="9"/>
      <c r="H25" s="9"/>
    </row>
    <row r="26" spans="1:8" ht="9" customHeight="1"/>
    <row r="27" spans="1:8" ht="35" customHeight="1">
      <c r="A27" s="9" t="s">
        <v>251</v>
      </c>
      <c r="B27" s="9"/>
      <c r="C27" s="9"/>
      <c r="D27" s="9"/>
      <c r="E27" s="9"/>
      <c r="F27" s="9"/>
      <c r="G27" s="9"/>
      <c r="H27" s="9"/>
    </row>
    <row r="28" spans="1:8" ht="9" customHeight="1"/>
    <row r="29" spans="1:8" ht="35" customHeight="1">
      <c r="A29" s="9" t="s">
        <v>252</v>
      </c>
      <c r="B29" s="9"/>
      <c r="C29" s="9"/>
      <c r="D29" s="9"/>
      <c r="E29" s="9"/>
      <c r="F29" s="9"/>
      <c r="G29" s="9"/>
      <c r="H29" s="9"/>
    </row>
  </sheetData>
  <mergeCells count="10">
    <mergeCell ref="A1:H1"/>
    <mergeCell ref="A2:H2"/>
    <mergeCell ref="E18:H18"/>
    <mergeCell ref="E19:H19"/>
    <mergeCell ref="E20:H20"/>
    <mergeCell ref="E21:H21"/>
    <mergeCell ref="B23:H23"/>
    <mergeCell ref="A25:H25"/>
    <mergeCell ref="A27:H27"/>
    <mergeCell ref="A29:H29"/>
  </mergeCells>
  <dataValidations count="2">
    <dataValidation type="whole" allowBlank="1" showInputMessage="1" showErrorMessage="1" promptTitle="Interior door faces" prompt="Count one face for each interior door opening into this room. All rooms must total 8." sqref="D5:D8">
      <formula1>0</formula1>
      <formula2>4</formula2>
    </dataValidation>
    <dataValidation type="whole" allowBlank="1" showInputMessage="1" showErrorMessage="1" promptTitle="Entry door" prompt="Enter 1 for the entry room, 0 for other rooms. Total must be 1." sqref="E5:E8">
      <formula1>0</formula1>
      <formula2>1</formula2>
    </dataValidation>
  </dataValidations>
  <pageMargins left="0.3" right="0.3" top="0.4" bottom="0.4" header="0.18" footer="0.18"/>
  <pageSetup paperSize="1" scale="95" orientation="landscape"/>
  <headerFooter>
    <oddHeader>&amp;LJuniper Street Architects, Inc.&amp;RMaple Court ADU | Rev 01</oddHeader>
    <oddFooter>&amp;LPrepared October 13, 2026 | DD quantities&amp;CBase&amp;RPage &amp;P of &amp;N</oddFooter>
  </headerFooter>
  <rowBreaks count="1" manualBreakCount="1">
    <brk id="16" max="16383" man="1"/>
  </rowBreaks>
  <legacyDrawing r:id="rId1"/>
</worksheet>
</file>

<file path=xl/worksheets/sheet7.xml><?xml version="1.0" encoding="utf-8"?>
<worksheet xmlns="http://schemas.openxmlformats.org/spreadsheetml/2006/main" xmlns:r="http://schemas.openxmlformats.org/officeDocument/2006/relationships">
  <dimension ref="A1:C21"/>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12.7109375" customWidth="1"/>
    <col min="2" max="2" width="34.7109375" customWidth="1"/>
    <col min="3" max="3" width="80.7109375" customWidth="1"/>
  </cols>
  <sheetData>
    <row r="1" spans="1:3" ht="31" customHeight="1">
      <c r="A1" s="1" t="s">
        <v>12</v>
      </c>
      <c r="B1" s="1"/>
      <c r="C1" s="1"/>
    </row>
    <row r="2" spans="1:3" ht="32" customHeight="1">
      <c r="A2" s="2" t="s">
        <v>13</v>
      </c>
      <c r="B2" s="2"/>
      <c r="C2" s="2"/>
    </row>
    <row r="3" spans="1:3" ht="9" customHeight="1"/>
    <row r="4" spans="1:3" ht="30" customHeight="1">
      <c r="A4" s="3" t="s">
        <v>16</v>
      </c>
      <c r="B4" s="3" t="s">
        <v>289</v>
      </c>
      <c r="C4" s="3" t="s">
        <v>290</v>
      </c>
    </row>
    <row r="5" spans="1:3" ht="64" customHeight="1">
      <c r="A5" s="4" t="s">
        <v>291</v>
      </c>
      <c r="B5" s="13" t="s">
        <v>292</v>
      </c>
      <c r="C5" s="4" t="s">
        <v>293</v>
      </c>
    </row>
    <row r="6" spans="1:3" ht="55" customHeight="1">
      <c r="A6" s="4" t="s">
        <v>294</v>
      </c>
      <c r="B6" s="4" t="s">
        <v>295</v>
      </c>
      <c r="C6" s="4" t="s">
        <v>296</v>
      </c>
    </row>
    <row r="7" spans="1:3" ht="55" customHeight="1">
      <c r="A7" s="4" t="s">
        <v>297</v>
      </c>
      <c r="B7" s="4" t="s">
        <v>298</v>
      </c>
      <c r="C7" s="4" t="s">
        <v>299</v>
      </c>
    </row>
    <row r="8" spans="1:3" ht="64" customHeight="1">
      <c r="A8" s="4" t="s">
        <v>300</v>
      </c>
      <c r="B8" s="4" t="s">
        <v>301</v>
      </c>
      <c r="C8" s="4" t="s">
        <v>302</v>
      </c>
    </row>
    <row r="9" spans="1:3" ht="64" customHeight="1">
      <c r="A9" s="4" t="s">
        <v>303</v>
      </c>
      <c r="B9" s="4" t="s">
        <v>304</v>
      </c>
      <c r="C9" s="4" t="s">
        <v>305</v>
      </c>
    </row>
    <row r="10" spans="1:3" ht="64" customHeight="1">
      <c r="A10" s="4" t="s">
        <v>306</v>
      </c>
      <c r="B10" s="13" t="s">
        <v>307</v>
      </c>
      <c r="C10" s="4" t="s">
        <v>308</v>
      </c>
    </row>
    <row r="11" spans="1:3" ht="55" customHeight="1">
      <c r="A11" s="4" t="s">
        <v>309</v>
      </c>
      <c r="B11" s="4" t="s">
        <v>310</v>
      </c>
      <c r="C11" s="4" t="s">
        <v>311</v>
      </c>
    </row>
    <row r="12" spans="1:3" ht="55" customHeight="1">
      <c r="A12" s="4" t="s">
        <v>312</v>
      </c>
      <c r="B12" s="4" t="s">
        <v>313</v>
      </c>
      <c r="C12" s="4" t="s">
        <v>314</v>
      </c>
    </row>
    <row r="13" spans="1:3" ht="64" customHeight="1">
      <c r="A13" s="4" t="s">
        <v>315</v>
      </c>
      <c r="B13" s="4" t="s">
        <v>316</v>
      </c>
      <c r="C13" s="4" t="s">
        <v>317</v>
      </c>
    </row>
    <row r="14" spans="1:3" ht="55" customHeight="1">
      <c r="A14" s="4" t="s">
        <v>318</v>
      </c>
      <c r="B14" s="4" t="s">
        <v>319</v>
      </c>
      <c r="C14" s="4" t="s">
        <v>320</v>
      </c>
    </row>
    <row r="15" spans="1:3" ht="55" customHeight="1">
      <c r="A15" s="4" t="s">
        <v>321</v>
      </c>
      <c r="B15" s="4" t="s">
        <v>322</v>
      </c>
      <c r="C15" s="4" t="s">
        <v>323</v>
      </c>
    </row>
    <row r="16" spans="1:3" ht="64" customHeight="1">
      <c r="A16" s="4" t="s">
        <v>324</v>
      </c>
      <c r="B16" s="4" t="s">
        <v>325</v>
      </c>
      <c r="C16" s="4" t="s">
        <v>326</v>
      </c>
    </row>
    <row r="17" spans="1:3" ht="55" customHeight="1">
      <c r="A17" s="4" t="s">
        <v>327</v>
      </c>
      <c r="B17" s="4" t="s">
        <v>328</v>
      </c>
      <c r="C17" s="4" t="s">
        <v>329</v>
      </c>
    </row>
    <row r="18" spans="1:3" ht="64" customHeight="1">
      <c r="A18" s="4" t="s">
        <v>330</v>
      </c>
      <c r="B18" s="4" t="s">
        <v>331</v>
      </c>
      <c r="C18" s="4" t="s">
        <v>332</v>
      </c>
    </row>
    <row r="19" spans="1:3" ht="9" customHeight="1"/>
    <row r="20" spans="1:3" ht="9" customHeight="1"/>
    <row r="21" spans="1:3" ht="35" customHeight="1">
      <c r="A21" s="9" t="s">
        <v>333</v>
      </c>
      <c r="B21" s="9"/>
      <c r="C21" s="9"/>
    </row>
  </sheetData>
  <mergeCells count="3">
    <mergeCell ref="A1:C1"/>
    <mergeCell ref="A2:C2"/>
    <mergeCell ref="A21:C21"/>
  </mergeCells>
  <hyperlinks>
    <hyperlink ref="B5" r:id="rId1"/>
    <hyperlink ref="B10" r:id="rId2"/>
  </hyperlinks>
  <pageMargins left="0.3" right="0.3" top="0.4" bottom="0.4" header="0.18" footer="0.18"/>
  <pageSetup paperSize="1" scale="95" orientation="landscape"/>
  <headerFooter>
    <oddHeader>&amp;LJuniper Street Architects, Inc.&amp;RMaple Court ADU | Rev 01</oddHeader>
    <oddFooter>&amp;LPrepared October 13, 2026 | DD quantities&amp;CSources&amp;RPage &amp;P of &amp;N</oddFooter>
  </headerFooter>
  <rowBreaks count="1" manualBreakCount="1">
    <brk id="11" max="16383" man="1"/>
  </rowBreaks>
</worksheet>
</file>

<file path=xl/worksheets/sheet8.xml><?xml version="1.0" encoding="utf-8"?>
<worksheet xmlns="http://schemas.openxmlformats.org/spreadsheetml/2006/main" xmlns:r="http://schemas.openxmlformats.org/officeDocument/2006/relationships">
  <dimension ref="A1:D27"/>
  <sheetViews>
    <sheetView showGridLines="0" zoomScale="90" zoomScaleNormal="90" workbookViewId="0">
      <pane xSplit="1" ySplit="4" topLeftCell="B5" activePane="bottomRight" state="frozen"/>
      <selection pane="topRight" activeCell="B1" sqref="B1"/>
      <selection pane="bottomLeft" activeCell="A5" sqref="A5"/>
      <selection pane="bottomRight"/>
    </sheetView>
  </sheetViews>
  <sheetFormatPr defaultRowHeight="27" customHeight="1"/>
  <cols>
    <col min="1" max="1" width="43.7109375" customWidth="1"/>
    <col min="2" max="2" width="16.7109375" customWidth="1"/>
    <col min="3" max="3" width="15.7109375" customWidth="1"/>
    <col min="4" max="4" width="51.7109375" customWidth="1"/>
  </cols>
  <sheetData>
    <row r="1" spans="1:4" ht="31" customHeight="1">
      <c r="A1" s="1" t="s">
        <v>14</v>
      </c>
      <c r="B1" s="1"/>
      <c r="C1" s="1"/>
      <c r="D1" s="1"/>
    </row>
    <row r="2" spans="1:4" ht="32" customHeight="1">
      <c r="A2" s="2" t="s">
        <v>15</v>
      </c>
      <c r="B2" s="2"/>
      <c r="C2" s="2"/>
      <c r="D2" s="2"/>
    </row>
    <row r="3" spans="1:4" ht="9" customHeight="1"/>
    <row r="4" spans="1:4" ht="30" customHeight="1">
      <c r="A4" s="3" t="s">
        <v>334</v>
      </c>
      <c r="B4" s="3" t="s">
        <v>335</v>
      </c>
      <c r="C4" s="3" t="s">
        <v>336</v>
      </c>
      <c r="D4" s="3" t="s">
        <v>337</v>
      </c>
    </row>
    <row r="5" spans="1:4" ht="34" customHeight="1">
      <c r="A5" s="4" t="s">
        <v>338</v>
      </c>
      <c r="B5" s="7">
        <f>Inputs!F8-(Inputs!F15-Inputs!F30-Inputs!F32)</f>
        <v>0.0</v>
      </c>
      <c r="C5" s="5" t="str">
        <f>IF(ABS(B5)&lt;0.00000001,"PASS","CHECK")</f>
        <v>PASS</v>
      </c>
      <c r="D5" s="4" t="s">
        <v>339</v>
      </c>
    </row>
    <row r="6" spans="1:4" ht="34" customHeight="1">
      <c r="A6" s="4" t="s">
        <v>340</v>
      </c>
      <c r="B6" s="7">
        <f>Inputs!F9-(Inputs!F16-Inputs!F30-Inputs!F32)</f>
        <v>0.0</v>
      </c>
      <c r="C6" s="5" t="str">
        <f>IF(ABS(B6)&lt;0.00000001,"PASS","CHECK")</f>
        <v>PASS</v>
      </c>
      <c r="D6" s="4" t="s">
        <v>341</v>
      </c>
    </row>
    <row r="7" spans="1:4" ht="34" customHeight="1">
      <c r="A7" s="4" t="s">
        <v>342</v>
      </c>
      <c r="B7" s="7">
        <f>Inputs!F10-(Inputs!F6-Inputs!F30-Inputs!F15-Inputs!F32)</f>
        <v>0.0</v>
      </c>
      <c r="C7" s="5" t="str">
        <f>IF(ABS(B7)&lt;0.00000001,"PASS","CHECK")</f>
        <v>PASS</v>
      </c>
      <c r="D7" s="4" t="s">
        <v>343</v>
      </c>
    </row>
    <row r="8" spans="1:4" ht="34" customHeight="1">
      <c r="A8" s="4" t="s">
        <v>344</v>
      </c>
      <c r="B8" s="7">
        <f>Inputs!F11-(Inputs!F5-Inputs!F30-Inputs!F16-Inputs!F32)</f>
        <v>0.0</v>
      </c>
      <c r="C8" s="5" t="str">
        <f>IF(ABS(B8)&lt;0.00000001,"PASS","CHECK")</f>
        <v>PASS</v>
      </c>
      <c r="D8" s="4" t="s">
        <v>345</v>
      </c>
    </row>
    <row r="9" spans="1:4" ht="34" customHeight="1">
      <c r="A9" s="4" t="s">
        <v>346</v>
      </c>
      <c r="B9" s="7">
        <f>Inputs!F12-(Inputs!F6-Inputs!F30-Inputs!F17-Inputs!F32)</f>
        <v>0.0</v>
      </c>
      <c r="C9" s="5" t="str">
        <f>IF(ABS(B9)&lt;0.00000001,"PASS","CHECK")</f>
        <v>PASS</v>
      </c>
      <c r="D9" s="4" t="s">
        <v>347</v>
      </c>
    </row>
    <row r="10" spans="1:4" ht="34" customHeight="1">
      <c r="A10" s="4" t="s">
        <v>348</v>
      </c>
      <c r="B10" s="7">
        <f>Inputs!F13-Inputs!F11</f>
        <v>0.0</v>
      </c>
      <c r="C10" s="5" t="str">
        <f>IF(ABS(B10)&lt;0.00000001,"PASS","CHECK")</f>
        <v>PASS</v>
      </c>
      <c r="D10" s="4" t="s">
        <v>349</v>
      </c>
    </row>
    <row r="11" spans="1:4" ht="34" customHeight="1">
      <c r="A11" s="4" t="s">
        <v>350</v>
      </c>
      <c r="B11" s="7">
        <f>Inputs!F14-(Inputs!F17-Inputs!F15-Inputs!F31)</f>
        <v>0.0</v>
      </c>
      <c r="C11" s="5" t="str">
        <f>IF(ABS(B11)&lt;0.00000001,"PASS","CHECK")</f>
        <v>PASS</v>
      </c>
      <c r="D11" s="4" t="s">
        <v>351</v>
      </c>
    </row>
    <row r="12" spans="1:4" ht="34" customHeight="1">
      <c r="A12" s="4" t="s">
        <v>352</v>
      </c>
      <c r="B12" s="7">
        <f>Areas!D10-SUM(Flooring!C12:C14)</f>
        <v>0.0</v>
      </c>
      <c r="C12" s="5" t="str">
        <f>IF(ABS(B12)&lt;0.00000001,"PASS","CHECK")</f>
        <v>PASS</v>
      </c>
      <c r="D12" s="4" t="s">
        <v>353</v>
      </c>
    </row>
    <row r="13" spans="1:4" ht="34" customHeight="1">
      <c r="A13" s="4" t="s">
        <v>354</v>
      </c>
      <c r="B13" s="7">
        <f>Walls!E9-(2*Walls!B9-4*Inputs!F31)</f>
        <v>0.0</v>
      </c>
      <c r="C13" s="5" t="str">
        <f>IF(ABS(B13)&lt;0.00000001,"PASS","CHECK")</f>
        <v>PASS</v>
      </c>
      <c r="D13" s="4" t="s">
        <v>355</v>
      </c>
    </row>
    <row r="14" spans="1:4" ht="34" customHeight="1">
      <c r="A14" s="4" t="s">
        <v>356</v>
      </c>
      <c r="B14" s="7">
        <f>Areas!D13-Areas!D10-(2*Inputs!F30*(Inputs!F5+Inputs!F6-2*Inputs!F30)+Inputs!F31*Walls!B9-Inputs!F31^2)</f>
        <v>0.0</v>
      </c>
      <c r="C14" s="5" t="str">
        <f>IF(ABS(B14)&lt;0.00000001,"PASS","CHECK")</f>
        <v>PASS</v>
      </c>
      <c r="D14" s="4" t="s">
        <v>357</v>
      </c>
    </row>
    <row r="15" spans="1:4" ht="34" customHeight="1">
      <c r="A15" s="4" t="s">
        <v>358</v>
      </c>
      <c r="B15" s="7">
        <f>Areas!D15-Areas!D13*0.3048^2</f>
        <v>0.0</v>
      </c>
      <c r="C15" s="5" t="str">
        <f>IF(ABS(B15)&lt;0.00000001,"PASS","CHECK")</f>
        <v>PASS</v>
      </c>
      <c r="D15" s="4" t="s">
        <v>359</v>
      </c>
    </row>
    <row r="16" spans="1:4" ht="34" customHeight="1">
      <c r="A16" s="4" t="s">
        <v>360</v>
      </c>
      <c r="B16" s="7">
        <f>Walls!B10-Walls!B9*0.3048</f>
        <v>0.0</v>
      </c>
      <c r="C16" s="5" t="str">
        <f>IF(ABS(B16)&lt;0.00000001,"PASS","CHECK")</f>
        <v>PASS</v>
      </c>
      <c r="D16" s="4" t="s">
        <v>361</v>
      </c>
    </row>
    <row r="17" spans="1:4" ht="34" customHeight="1">
      <c r="A17" s="4" t="s">
        <v>362</v>
      </c>
      <c r="B17" s="7">
        <f>Walls!B20-(Walls!B15-Walls!B16)*(1+Walls!B18)</f>
        <v>0.0</v>
      </c>
      <c r="C17" s="5" t="str">
        <f>IF(ABS(B17)&lt;0.00000001,"PASS","CHECK")</f>
        <v>PASS</v>
      </c>
      <c r="D17" s="4" t="s">
        <v>363</v>
      </c>
    </row>
    <row r="18" spans="1:4" ht="9" customHeight="1"/>
    <row r="19" spans="1:4" ht="33" customHeight="1">
      <c r="A19" s="4" t="s">
        <v>364</v>
      </c>
      <c r="B19" s="5">
        <f>COUNT(Base!D5:E8)</f>
        <v>0</v>
      </c>
      <c r="C19" s="8" t="str">
        <f>IF(B19=8,"ENTERED","OPEN")</f>
        <v>OPEN</v>
      </c>
      <c r="D19" s="4" t="s">
        <v>365</v>
      </c>
    </row>
    <row r="20" spans="1:4" ht="27" customHeight="1">
      <c r="A20" s="4" t="s">
        <v>366</v>
      </c>
      <c r="B20" s="5">
        <f>IF(B19&lt;8,"",SUM(Base!D5:D8)-Inputs!D22*2)</f>
        <v/>
      </c>
      <c r="C20" s="8" t="str">
        <f>IF(B19&lt;8,"OPEN",IF(B20=0,"PASS","CHECK"))</f>
        <v>OPEN</v>
      </c>
      <c r="D20" s="4" t="s">
        <v>367</v>
      </c>
    </row>
    <row r="21" spans="1:4" ht="27" customHeight="1">
      <c r="A21" s="4" t="s">
        <v>368</v>
      </c>
      <c r="B21" s="5">
        <f>IF(B19&lt;8,"",SUM(Base!E5:E8)-Inputs!D23)</f>
        <v/>
      </c>
      <c r="C21" s="8" t="str">
        <f>IF(B19&lt;8,"OPEN",IF(B21=0,"PASS","CHECK"))</f>
        <v>OPEN</v>
      </c>
      <c r="D21" s="4" t="s">
        <v>369</v>
      </c>
    </row>
    <row r="22" spans="1:4" ht="27" customHeight="1">
      <c r="A22" s="4" t="s">
        <v>370</v>
      </c>
      <c r="B22" s="5">
        <f>IF(B19&lt;8,"",SUM(Base!G5:G8)-Base!C21)</f>
        <v/>
      </c>
      <c r="C22" s="8" t="str">
        <f>IF(B19&lt;8,"OPEN",IF(ABS(B22)&lt;0.00000001,"PASS","CHECK"))</f>
        <v>OPEN</v>
      </c>
      <c r="D22" s="4" t="s">
        <v>371</v>
      </c>
    </row>
    <row r="23" spans="1:4" ht="9" customHeight="1"/>
    <row r="24" spans="1:4" ht="9" customHeight="1"/>
    <row r="25" spans="1:4" ht="36" customHeight="1">
      <c r="A25" s="9" t="s">
        <v>372</v>
      </c>
      <c r="B25" s="9"/>
      <c r="C25" s="9"/>
      <c r="D25" s="9"/>
    </row>
    <row r="26" spans="1:4" ht="9" customHeight="1"/>
    <row r="27" spans="1:4" ht="34" customHeight="1">
      <c r="A27" s="9" t="s">
        <v>373</v>
      </c>
      <c r="B27" s="9"/>
      <c r="C27" s="9"/>
      <c r="D27" s="9"/>
    </row>
  </sheetData>
  <mergeCells count="4">
    <mergeCell ref="A1:D1"/>
    <mergeCell ref="A2:D2"/>
    <mergeCell ref="A25:D25"/>
    <mergeCell ref="A27:D27"/>
  </mergeCells>
  <pageMargins left="0.3" right="0.3" top="0.4" bottom="0.4" header="0.18" footer="0.18"/>
  <pageSetup paperSize="1" scale="95" orientation="landscape"/>
  <headerFooter>
    <oddHeader>&amp;LJuniper Street Architects, Inc.&amp;RMaple Court ADU | Rev 01</oddHeader>
    <oddFooter>&amp;LPrepared October 13, 2026 | DD quantities&amp;CChecks&amp;RPage &amp;P of &amp;N</oddFooter>
  </headerFooter>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16</vt:i4>
      </vt:variant>
    </vt:vector>
  </HeadingPairs>
  <TitlesOfParts>
    <vt:vector size="24" baseType="lpstr">
      <vt:lpstr>Summary</vt:lpstr>
      <vt:lpstr>Inputs</vt:lpstr>
      <vt:lpstr>Areas</vt:lpstr>
      <vt:lpstr>Walls</vt:lpstr>
      <vt:lpstr>Flooring</vt:lpstr>
      <vt:lpstr>Base</vt:lpstr>
      <vt:lpstr>Sources</vt:lpstr>
      <vt:lpstr>Checks</vt:lpstr>
      <vt:lpstr>Areas!Print_Area</vt:lpstr>
      <vt:lpstr>Base!Print_Area</vt:lpstr>
      <vt:lpstr>Checks!Print_Area</vt:lpstr>
      <vt:lpstr>Flooring!Print_Area</vt:lpstr>
      <vt:lpstr>Inputs!Print_Area</vt:lpstr>
      <vt:lpstr>Sources!Print_Area</vt:lpstr>
      <vt:lpstr>Summary!Print_Area</vt:lpstr>
      <vt:lpstr>Walls!Print_Area</vt:lpstr>
      <vt:lpstr>Areas!Print_Titles</vt:lpstr>
      <vt:lpstr>Base!Print_Titles</vt:lpstr>
      <vt:lpstr>Checks!Print_Titles</vt:lpstr>
      <vt:lpstr>Flooring!Print_Titles</vt:lpstr>
      <vt:lpstr>Inputs!Print_Titles</vt:lpstr>
      <vt:lpstr>Sources!Print_Titles</vt:lpstr>
      <vt:lpstr>Summary!Print_Titles</vt:lpstr>
      <vt:lpstr>Walls!Print_Titles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Maple Court ADU | DD Quantity Takeoff | Rev 01</dc:title>
  <dc:subject>Dimension-based quantities from A-101 and A-601</dc:subject>
  <dc:creator>Juniper Street Architects, Inc.</dc:creator>
  <dc:description>Prepared October 13, 2026. Door allocation remains open. Source documents identify themselves as fictitious test documents.</dc:description>
  <cp:lastModifiedBy>Juniper Street Architects, Inc.</cp:lastModifiedBy>
  <dcterms:created xsi:type="dcterms:W3CDTF">2026-10-13T12:06:56Z</dcterms:created>
  <dcterms:modified xsi:type="dcterms:W3CDTF">2026-10-13T12:06:56Z</dcterms:modified>
</cp:coreProperties>
</file>